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tabRatio="817" firstSheet="1" activeTab="1"/>
  </bookViews>
  <sheets>
    <sheet name="Foglio 1 - TARIFFA ISTRUTTORIA" sheetId="1" state="hidden" r:id="rId1"/>
    <sheet name="COMPILAZIONE" sheetId="2" r:id="rId2"/>
    <sheet name="Calcoli Foglio1" sheetId="3" state="hidden" r:id="rId3"/>
    <sheet name="REPORT FINALE" sheetId="4" r:id="rId4"/>
    <sheet name="CALCOLI" sheetId="5" state="hidden" r:id="rId5"/>
  </sheets>
  <externalReferences>
    <externalReference r:id="rId8"/>
  </externalReferences>
  <definedNames>
    <definedName name="ACCONTO" localSheetId="1">'COMPILAZIONE'!$F$171:$F$173</definedName>
    <definedName name="ACCONTO">'Calcoli Foglio1'!$F$166:$F$168</definedName>
    <definedName name="_xlnm.Print_Area" localSheetId="0">'Foglio 1 - TARIFFA ISTRUTTORIA'!$A$10:$R$123</definedName>
    <definedName name="_xlnm.Print_Area" localSheetId="3">'REPORT FINALE'!$A$1:$H$85</definedName>
    <definedName name="codIPPC" localSheetId="1">'COMPILAZIONE'!$A$171:$A$203</definedName>
    <definedName name="codIPPC">'Calcoli Foglio1'!$A$166:$A$198</definedName>
    <definedName name="codIPPC_MOD">'[1]calcoli MOD. NON SOT'!$B$12:$B$44</definedName>
    <definedName name="Domanda" localSheetId="1">'COMPILAZIONE'!$G$171:$G$172</definedName>
    <definedName name="Domanda">'Calcoli Foglio1'!$G$166:$G$167</definedName>
    <definedName name="RUM" localSheetId="1">'COMPILAZIONE'!$E$171:$E$175</definedName>
    <definedName name="RUM">'Calcoli Foglio1'!$E$166:$E$170</definedName>
    <definedName name="SI_NO" localSheetId="1">'COMPILAZIONE'!$D$171:$D$172</definedName>
    <definedName name="SI_NO">'Calcoli Foglio1'!$D$166:$D$167</definedName>
    <definedName name="TipoIMP" localSheetId="1">'COMPILAZIONE'!$C$171:$C$173</definedName>
    <definedName name="TipoIMP">'Calcoli Foglio1'!$C$166:$C$168</definedName>
    <definedName name="tipoIMP_MOD">'[1]calcoli MOD. NON SOT'!$A$12:$A$13</definedName>
    <definedName name="TipoISTR" localSheetId="1">'COMPILAZIONE'!$B$171:$B$174</definedName>
    <definedName name="TipoISTR">'Calcoli Foglio1'!$B$166:$B$169</definedName>
  </definedNames>
  <calcPr fullCalcOnLoad="1"/>
</workbook>
</file>

<file path=xl/sharedStrings.xml><?xml version="1.0" encoding="utf-8"?>
<sst xmlns="http://schemas.openxmlformats.org/spreadsheetml/2006/main" count="642" uniqueCount="270">
  <si>
    <t>Grandi e medie imprese</t>
  </si>
  <si>
    <t>Micro e Piccole Imprese</t>
  </si>
  <si>
    <t>tipologia impianto</t>
  </si>
  <si>
    <r>
      <t>CALCOLO DI C</t>
    </r>
    <r>
      <rPr>
        <b/>
        <vertAlign val="subscript"/>
        <sz val="14"/>
        <color indexed="8"/>
        <rFont val="Calibri"/>
        <family val="2"/>
      </rPr>
      <t>D</t>
    </r>
  </si>
  <si>
    <t>3 - Micro e Piccole Imprese</t>
  </si>
  <si>
    <t>2 - Grandi e medie imprese</t>
  </si>
  <si>
    <t>calcolo</t>
  </si>
  <si>
    <r>
      <t>CALCOLO DI C</t>
    </r>
    <r>
      <rPr>
        <b/>
        <vertAlign val="subscript"/>
        <sz val="14"/>
        <color indexed="8"/>
        <rFont val="Calibri"/>
        <family val="2"/>
      </rPr>
      <t>ARIA</t>
    </r>
  </si>
  <si>
    <t>N. di emissioni in atmosfera</t>
  </si>
  <si>
    <t>N. di inquinanti</t>
  </si>
  <si>
    <t>da 1 a 4 inquinanti</t>
  </si>
  <si>
    <t>da 5 a 10 inquinanti</t>
  </si>
  <si>
    <t>da 11 a 17 inquinanti</t>
  </si>
  <si>
    <t>più di 17 inquinanti</t>
  </si>
  <si>
    <t>0 inquinanti</t>
  </si>
  <si>
    <t>da 2 a 3</t>
  </si>
  <si>
    <t>da 4 a 8</t>
  </si>
  <si>
    <t>da 9 a 20</t>
  </si>
  <si>
    <t>da 21 a 60</t>
  </si>
  <si>
    <t>oltre 60</t>
  </si>
  <si>
    <t>NUMERO EMISSIONI IN ATMOSFERA</t>
  </si>
  <si>
    <t>NUMERO INQUINANTI</t>
  </si>
  <si>
    <t>inserire nelle relative celle evidenziate il n. complessivo di emissioni in atmosfera ed il n. complessivo di inquinanti; per l'identificazione degli stessi si faccia riferimento al punto 2) dell'All. alla Dgr 10124/2009</t>
  </si>
  <si>
    <r>
      <t>CALCOLO DI C</t>
    </r>
    <r>
      <rPr>
        <b/>
        <vertAlign val="subscript"/>
        <sz val="14"/>
        <color indexed="8"/>
        <rFont val="Calibri"/>
        <family val="2"/>
      </rPr>
      <t>H2O</t>
    </r>
  </si>
  <si>
    <t>N. di scarichi</t>
  </si>
  <si>
    <t>inserire nelle relative celle evidenziate il n. complessivo di scarichi idrici ed il n. complessivo di inquinanti; per l'identificazione degli stessi si faccia riferimento al punto 3) dell'All. alla Dgr 10124/2009</t>
  </si>
  <si>
    <t>Numero di scarichi</t>
  </si>
  <si>
    <t>oltre 8</t>
  </si>
  <si>
    <t>Nessun inquinante</t>
  </si>
  <si>
    <t>da 5 a 7 inquinanti</t>
  </si>
  <si>
    <t>da 8 a 12 inquinanti</t>
  </si>
  <si>
    <t>da 13 a 15 inquinanti</t>
  </si>
  <si>
    <t>più di 15 inquinanti</t>
  </si>
  <si>
    <r>
      <t>CALCOLO DI C</t>
    </r>
    <r>
      <rPr>
        <b/>
        <vertAlign val="subscript"/>
        <sz val="14"/>
        <color indexed="8"/>
        <rFont val="Calibri"/>
        <family val="2"/>
      </rPr>
      <t xml:space="preserve">RP </t>
    </r>
    <r>
      <rPr>
        <b/>
        <sz val="14"/>
        <color indexed="8"/>
        <rFont val="Calibri"/>
        <family val="2"/>
      </rPr>
      <t>E</t>
    </r>
    <r>
      <rPr>
        <b/>
        <vertAlign val="subscript"/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C</t>
    </r>
    <r>
      <rPr>
        <b/>
        <vertAlign val="subscript"/>
        <sz val="14"/>
        <color indexed="8"/>
        <rFont val="Calibri"/>
        <family val="2"/>
      </rPr>
      <t>RnP</t>
    </r>
  </si>
  <si>
    <t>Rifiuti Pericolosi (tonn/g)</t>
  </si>
  <si>
    <t>Rifiuti NON Pericolosi (Tonn/g)</t>
  </si>
  <si>
    <t>Deposito Temporaneo</t>
  </si>
  <si>
    <t>Tonnellate/die oggetto della domanda*</t>
  </si>
  <si>
    <t>fino</t>
  </si>
  <si>
    <t>ad 1</t>
  </si>
  <si>
    <t>oltre 1</t>
  </si>
  <si>
    <t>fino a 10</t>
  </si>
  <si>
    <t>oltre 10</t>
  </si>
  <si>
    <t>fino a 50</t>
  </si>
  <si>
    <t>Oltre 50</t>
  </si>
  <si>
    <t>Sigla</t>
  </si>
  <si>
    <t>Rifiuti pericolosi (RP)</t>
  </si>
  <si>
    <t>Rifiuti non pericolosi (RNP)</t>
  </si>
  <si>
    <t>CRP</t>
  </si>
  <si>
    <t>CRnP</t>
  </si>
  <si>
    <t>contatore</t>
  </si>
  <si>
    <t>valore</t>
  </si>
  <si>
    <t>tariffa Dep.Temp.</t>
  </si>
  <si>
    <t>COMPONENTI AMBIENTALI</t>
  </si>
  <si>
    <t>Ulteriore componente ambientale da considerare</t>
  </si>
  <si>
    <t xml:space="preserve">Clima acustico </t>
  </si>
  <si>
    <t>Tutela quantitativa della risorsa idrica</t>
  </si>
  <si>
    <t xml:space="preserve">Odori </t>
  </si>
  <si>
    <t xml:space="preserve">Sicurezza del territorio </t>
  </si>
  <si>
    <t xml:space="preserve">Ripristino ambientale </t>
  </si>
  <si>
    <t>VEDI TAB.X</t>
  </si>
  <si>
    <t>2 -impianti esistenti (o cmq la cui istruttoria si è conclusa prima dell'entrata in vigore del Tariffario Regionale) a cui è stato prescritto un Piano di Risanamento Acustico</t>
  </si>
  <si>
    <t xml:space="preserve">3 - impianti esistenti (o cmq la cui istruttoria si è conclusa prima dell'entrata in vigore del Tariffario Regionale) a cui è stato prescritta una nuova indagine acustica </t>
  </si>
  <si>
    <t>4 - tutti gli altri impianti (eccezione di attività 2.6 e 6.7) ricadenti in aree di Classe VI</t>
  </si>
  <si>
    <t>1- impianti svolgenti attività 2.6 o 6.7 e non rientrnati nei successivi punti 2 (piano di risanamento acustico) e 3 (soggetti ad nuova indagine acustica)</t>
  </si>
  <si>
    <t>1, 2 o 3</t>
  </si>
  <si>
    <t>5 - tutti gli altri impianti non inclusi nelle categorie da 1 a 4</t>
  </si>
  <si>
    <t>TOTALE Comp.Amb.</t>
  </si>
  <si>
    <t>Cca</t>
  </si>
  <si>
    <t>CERTIFICAZIONI AMBIENTALI</t>
  </si>
  <si>
    <t>Sistema di Gestione Ambientale</t>
  </si>
  <si>
    <t>Certificazione ISO 14001</t>
  </si>
  <si>
    <t>Registrazione Regolamento EMAS</t>
  </si>
  <si>
    <t>PRESENTAZIONE DOMANDA</t>
  </si>
  <si>
    <t>1 - Grande impianto con attività ricadente nel D.Lgs 333/99 e s.m.i.</t>
  </si>
  <si>
    <t>1 - Presentata secondo le specifiche dell'A.C. ed in formato elettronico</t>
  </si>
  <si>
    <t>2 - Con copia informatizzata</t>
  </si>
  <si>
    <t>grandi/medie</t>
  </si>
  <si>
    <t>piccole e micro</t>
  </si>
  <si>
    <t>SCONTI TOTALE</t>
  </si>
  <si>
    <t>COEFFICIENTI CORRETTIVI</t>
  </si>
  <si>
    <t>DENOMINAZIONE</t>
  </si>
  <si>
    <t>COMUNE</t>
  </si>
  <si>
    <t>VIA</t>
  </si>
  <si>
    <t>ATTIVITA' IPPC PRINC.</t>
  </si>
  <si>
    <t>TIPOLOGIA DI ISTRUTTORIA:</t>
  </si>
  <si>
    <t>MODIFICA SOSTANZIALE</t>
  </si>
  <si>
    <t>RINNOVO</t>
  </si>
  <si>
    <t>K1</t>
  </si>
  <si>
    <t>K2</t>
  </si>
  <si>
    <t>K3</t>
  </si>
  <si>
    <t>COD IPPC</t>
  </si>
  <si>
    <t>PROCEDIMENTO DI VERIFICA DI VIA/VIA</t>
  </si>
  <si>
    <t>PROCEDIMENTO D.LGS 334/99 E S.M.I.</t>
  </si>
  <si>
    <t xml:space="preserve">IMPIANTO ESISTENTE </t>
  </si>
  <si>
    <t>IMPIANTO  NUOVO</t>
  </si>
  <si>
    <t>CALCOLO TARIFFA</t>
  </si>
  <si>
    <t>T istruttoria</t>
  </si>
  <si>
    <t>T finale</t>
  </si>
  <si>
    <t>PROVINCIA</t>
  </si>
  <si>
    <r>
      <t>calcolo C</t>
    </r>
    <r>
      <rPr>
        <b/>
        <vertAlign val="subscript"/>
        <sz val="11"/>
        <color indexed="8"/>
        <rFont val="Calibri"/>
        <family val="2"/>
      </rPr>
      <t>D</t>
    </r>
  </si>
  <si>
    <r>
      <t>calcolo C</t>
    </r>
    <r>
      <rPr>
        <b/>
        <vertAlign val="subscript"/>
        <sz val="11"/>
        <color indexed="8"/>
        <rFont val="Calibri"/>
        <family val="2"/>
      </rPr>
      <t>ARIA</t>
    </r>
  </si>
  <si>
    <r>
      <t>calcolo C</t>
    </r>
    <r>
      <rPr>
        <b/>
        <vertAlign val="subscript"/>
        <sz val="11"/>
        <color indexed="8"/>
        <rFont val="Calibri"/>
        <family val="2"/>
      </rPr>
      <t>H2O</t>
    </r>
  </si>
  <si>
    <r>
      <t>calcolo C</t>
    </r>
    <r>
      <rPr>
        <b/>
        <vertAlign val="subscript"/>
        <sz val="11"/>
        <color indexed="8"/>
        <rFont val="Calibri"/>
        <family val="2"/>
      </rPr>
      <t>RP</t>
    </r>
  </si>
  <si>
    <r>
      <t>calcolo C</t>
    </r>
    <r>
      <rPr>
        <b/>
        <vertAlign val="subscript"/>
        <sz val="11"/>
        <color indexed="8"/>
        <rFont val="Calibri"/>
        <family val="2"/>
      </rPr>
      <t>RnP</t>
    </r>
  </si>
  <si>
    <r>
      <t>C</t>
    </r>
    <r>
      <rPr>
        <b/>
        <vertAlign val="subscript"/>
        <sz val="11"/>
        <color indexed="8"/>
        <rFont val="Calibri"/>
        <family val="2"/>
      </rPr>
      <t>SGA</t>
    </r>
  </si>
  <si>
    <t>TOT:</t>
  </si>
  <si>
    <t>Modalità di presentazione dell'istanza</t>
  </si>
  <si>
    <t>1,2, 3, 4 o 5</t>
  </si>
  <si>
    <t>ACCONTO</t>
  </si>
  <si>
    <t>PROCEDIMENTI CORRELATI</t>
  </si>
  <si>
    <r>
      <t>C</t>
    </r>
    <r>
      <rPr>
        <b/>
        <vertAlign val="subscript"/>
        <sz val="11"/>
        <color indexed="8"/>
        <rFont val="Calibri"/>
        <family val="2"/>
      </rPr>
      <t>dom</t>
    </r>
  </si>
  <si>
    <t>ANAGRAFICA COMPLESSO</t>
  </si>
  <si>
    <t>NOTE GENERALI PER LA COMPILAZIONE:</t>
  </si>
  <si>
    <t>Note per la compilazione delle Tabelle</t>
  </si>
  <si>
    <t>CALCOLO TARIFFA ISTRUTTORIA PER ISTANZA DI AUTORIZZAZIONE - MODIFICA SOSTANZIALE E RINNOVO AI SENSI DELLA DGR n.10124 DEL 7 AGOSTO 2009</t>
  </si>
  <si>
    <t>codIPPC</t>
  </si>
  <si>
    <t>CONVALIDA DATI</t>
  </si>
  <si>
    <t>tipoISTR</t>
  </si>
  <si>
    <t>Tipo IMP</t>
  </si>
  <si>
    <t>SI_NO</t>
  </si>
  <si>
    <t>RUM</t>
  </si>
  <si>
    <t>SI</t>
  </si>
  <si>
    <t>NO</t>
  </si>
  <si>
    <t>Domanda</t>
  </si>
  <si>
    <t>selezionare dal menù a tendina il codice IPPC relativo all'attività principale avolta nello stabilimento</t>
  </si>
  <si>
    <t>NOME GESTORE IMPIANTO</t>
  </si>
  <si>
    <t>selezionare dal menù a tendina il codice numerico associato alla 'tipologia di impianto'  nella cella evidenziata (se la tipologia è 'grande impianto con attività ricadente nel D.Lgs 334/99' inserire '1', se la tipologia è 'grande o media impresa' inserire '2' ecc.) ; per la definizione di Piccola, Media, Grande Impresa si rimanda al punto 1) dell'Allegato alla Dgr 10124/2009</t>
  </si>
  <si>
    <t>1 - Grande impianto con attività ricadente nel D.Lgs 334/99 e s.m.i.</t>
  </si>
  <si>
    <t>Se presso l'azienda vengoono effettuate operaizoni di deposito temporaneo, selezionare 'SI' dal menù a tendina</t>
  </si>
  <si>
    <t>Se  l'azienda è soggetta ad una o più delle componenti ambientali elencate (rif. punto 3) dell'All. alla Dgr 10124/2009, selezionare 'SI' nel  menù a tendina relativo alla componente  ambientale interessata.</t>
  </si>
  <si>
    <t>selezionare 'SI' nel relativo menù a tendina se l'Azienda è dotata di sistemi di Certificazione ambientale; si ricorda che gli sconti associati a tale coefficiente non sono cumulabili (rif. punto 6 dell'All. alla Dgr 10124/2009).</t>
  </si>
  <si>
    <t>Se l'azienda ha presentato l'istanza secondo le specifiche fornite dall'Autorità competente ed in formato elettronico selezionare '1' nel menù a tendina; selezionare '2' in caso contrario; (rif. punto 7 dell'All. alla Dgr 10124/2009)</t>
  </si>
  <si>
    <r>
      <t>CALCOLO DI C</t>
    </r>
    <r>
      <rPr>
        <b/>
        <vertAlign val="subscript"/>
        <sz val="11"/>
        <color indexed="8"/>
        <rFont val="Calibri"/>
        <family val="2"/>
      </rPr>
      <t>D</t>
    </r>
  </si>
  <si>
    <r>
      <t>CALCOLO DI C</t>
    </r>
    <r>
      <rPr>
        <vertAlign val="subscript"/>
        <sz val="11"/>
        <color indexed="8"/>
        <rFont val="Calibri"/>
        <family val="2"/>
      </rPr>
      <t>ARIA</t>
    </r>
  </si>
  <si>
    <r>
      <t>CALCOLO DI C</t>
    </r>
    <r>
      <rPr>
        <b/>
        <vertAlign val="subscript"/>
        <sz val="11"/>
        <color indexed="8"/>
        <rFont val="Calibri"/>
        <family val="2"/>
      </rPr>
      <t>H2O</t>
    </r>
  </si>
  <si>
    <r>
      <t>CALCOLO DI C</t>
    </r>
    <r>
      <rPr>
        <b/>
        <vertAlign val="subscript"/>
        <sz val="11"/>
        <color indexed="8"/>
        <rFont val="Calibri"/>
        <family val="2"/>
      </rPr>
      <t xml:space="preserve">RP </t>
    </r>
    <r>
      <rPr>
        <b/>
        <sz val="11"/>
        <color indexed="8"/>
        <rFont val="Calibri"/>
        <family val="2"/>
      </rPr>
      <t>E</t>
    </r>
    <r>
      <rPr>
        <b/>
        <vertAlign val="subscript"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C</t>
    </r>
    <r>
      <rPr>
        <b/>
        <vertAlign val="subscript"/>
        <sz val="11"/>
        <color indexed="8"/>
        <rFont val="Calibri"/>
        <family val="2"/>
      </rPr>
      <t>RnP</t>
    </r>
  </si>
  <si>
    <r>
      <t>calcolo C</t>
    </r>
    <r>
      <rPr>
        <vertAlign val="subscript"/>
        <sz val="12"/>
        <color indexed="8"/>
        <rFont val="Times New Roman"/>
        <family val="1"/>
      </rPr>
      <t>CA</t>
    </r>
  </si>
  <si>
    <r>
      <t>calcoloC</t>
    </r>
    <r>
      <rPr>
        <b/>
        <vertAlign val="subscript"/>
        <sz val="11"/>
        <color indexed="8"/>
        <rFont val="Times New Roman"/>
        <family val="1"/>
      </rPr>
      <t>RI</t>
    </r>
  </si>
  <si>
    <r>
      <t>calcolo C</t>
    </r>
    <r>
      <rPr>
        <b/>
        <vertAlign val="subscript"/>
        <sz val="11"/>
        <color indexed="8"/>
        <rFont val="Times New Roman"/>
        <family val="1"/>
      </rPr>
      <t>OD</t>
    </r>
  </si>
  <si>
    <r>
      <t>calcolo C</t>
    </r>
    <r>
      <rPr>
        <b/>
        <vertAlign val="subscript"/>
        <sz val="11"/>
        <color indexed="8"/>
        <rFont val="Times New Roman"/>
        <family val="1"/>
      </rPr>
      <t>ST</t>
    </r>
  </si>
  <si>
    <r>
      <t>calcolo C</t>
    </r>
    <r>
      <rPr>
        <b/>
        <vertAlign val="subscript"/>
        <sz val="11"/>
        <color indexed="8"/>
        <rFont val="Times New Roman"/>
        <family val="1"/>
      </rPr>
      <t>RA</t>
    </r>
  </si>
  <si>
    <r>
      <t xml:space="preserve">selezionare il codice numerico associato alla tipologia di 'clima acustico' nella cella evidenziata (se la tipologia è </t>
    </r>
    <r>
      <rPr>
        <i/>
        <sz val="11"/>
        <color indexed="56"/>
        <rFont val="Calibri"/>
        <family val="2"/>
      </rPr>
      <t>'impianti svolgenti attività 2.6 o 6.7 e non rientrnati nei successivi punti 2 (piano di risanamento acustico) e 3 (soggetti ad nuova indagine acusticaattività'</t>
    </r>
    <r>
      <rPr>
        <sz val="11"/>
        <color indexed="56"/>
        <rFont val="Calibri"/>
        <family val="2"/>
      </rPr>
      <t xml:space="preserve"> selezionare '</t>
    </r>
    <r>
      <rPr>
        <b/>
        <sz val="11"/>
        <color indexed="56"/>
        <rFont val="Calibri"/>
        <family val="2"/>
      </rPr>
      <t>1</t>
    </r>
    <r>
      <rPr>
        <sz val="11"/>
        <color indexed="56"/>
        <rFont val="Calibri"/>
        <family val="2"/>
      </rPr>
      <t xml:space="preserve">', se la tipologia è </t>
    </r>
    <r>
      <rPr>
        <i/>
        <sz val="11"/>
        <color indexed="56"/>
        <rFont val="Calibri"/>
        <family val="2"/>
      </rPr>
      <t>'impianti esistenti (o cmq la cui istruttoria si è conclusa prima dell'entrata in vigore del Tariffario Regionale) a cui è stato prescritto un Piano di Risanamento Acustico'</t>
    </r>
    <r>
      <rPr>
        <sz val="11"/>
        <color indexed="56"/>
        <rFont val="Calibri"/>
        <family val="2"/>
      </rPr>
      <t xml:space="preserve"> selezionare '</t>
    </r>
    <r>
      <rPr>
        <b/>
        <sz val="11"/>
        <color indexed="56"/>
        <rFont val="Calibri"/>
        <family val="2"/>
      </rPr>
      <t>2</t>
    </r>
    <r>
      <rPr>
        <sz val="11"/>
        <color indexed="56"/>
        <rFont val="Calibri"/>
        <family val="2"/>
      </rPr>
      <t>' ecc.) .</t>
    </r>
  </si>
  <si>
    <r>
      <t xml:space="preserve">se l'azienda, contestualmente alla istanza di AIA (nuovo impianto o modifica sostanziale) ha attivato la procedura di verifica di VIA/VIA o le procedure previste dagli art.6 o 8 del D.Lgs 334/99, selezionare 'SI' nel relativo menù a tendina; </t>
    </r>
    <r>
      <rPr>
        <b/>
        <sz val="9"/>
        <color indexed="56"/>
        <rFont val="Verdana"/>
        <family val="2"/>
      </rPr>
      <t>gli sconti non si applicano in caso di istruttorie per impianti ESISTENTI</t>
    </r>
    <r>
      <rPr>
        <sz val="9"/>
        <color indexed="56"/>
        <rFont val="Verdana"/>
        <family val="2"/>
      </rPr>
      <t xml:space="preserve">, pertanto se nella Tipologia di Istruttoria sarà selezionata la voce '1', </t>
    </r>
    <r>
      <rPr>
        <b/>
        <sz val="9"/>
        <color indexed="56"/>
        <rFont val="Verdana"/>
        <family val="2"/>
      </rPr>
      <t>non andra' compilata la presente tabella</t>
    </r>
  </si>
  <si>
    <r>
      <t xml:space="preserve">1) I dati  utilizzati dal foglio di calcolo ai fini della determinazione della tariffa sono da inserire nelle celle </t>
    </r>
    <r>
      <rPr>
        <b/>
        <sz val="11"/>
        <color indexed="8"/>
        <rFont val="Calibri"/>
        <family val="2"/>
      </rPr>
      <t>GIALLE</t>
    </r>
  </si>
  <si>
    <t>2) Una volta inserito il dato (laddove obbligatorio) la cella diventerà verde.</t>
  </si>
  <si>
    <r>
      <t>selezionato nel menù a tendina il codice numerico associato alla 'tipologia di istruttoria' cui è associato il calcolo della tariffa; (es. selezionare '</t>
    </r>
    <r>
      <rPr>
        <b/>
        <sz val="9"/>
        <color indexed="56"/>
        <rFont val="Calibri"/>
        <family val="2"/>
      </rPr>
      <t>1</t>
    </r>
    <r>
      <rPr>
        <sz val="9"/>
        <color indexed="56"/>
        <rFont val="Calibri"/>
        <family val="2"/>
      </rPr>
      <t>' se l'istruttoria è relativa alla istanza di AIA per un impianto ESISTENTE ai sensi dell'art.2 del D.Lgs 59/05; selezionare '2' se l'istruttoria è relativa alla somanda di AIA per un impianto NUOVO ai sensi dell'art.2 del D.Lgs 59/05; selezionare '</t>
    </r>
    <r>
      <rPr>
        <b/>
        <sz val="9"/>
        <color indexed="56"/>
        <rFont val="Calibri"/>
        <family val="2"/>
      </rPr>
      <t>3</t>
    </r>
    <r>
      <rPr>
        <sz val="9"/>
        <color indexed="56"/>
        <rFont val="Calibri"/>
        <family val="2"/>
      </rPr>
      <t>' se l'istruttoria è relativa ad una istanza di MODIFICA SOSTANZIALE'; digitare '4' se l'istruttoria è relativa al RINNOVO dell'autorizzazione)</t>
    </r>
  </si>
  <si>
    <t xml:space="preserve">inserire nelle relative celle evidenziate il quantitativo di rifiuti (tonnellate/giorno) sottoposte ad operazioni di gestione rifiuti R o D; </t>
  </si>
  <si>
    <r>
      <t>calcolo C</t>
    </r>
    <r>
      <rPr>
        <b/>
        <vertAlign val="subscript"/>
        <sz val="14"/>
        <color indexed="8"/>
        <rFont val="Calibri"/>
        <family val="2"/>
      </rPr>
      <t>D</t>
    </r>
  </si>
  <si>
    <r>
      <t>calcolo C</t>
    </r>
    <r>
      <rPr>
        <b/>
        <vertAlign val="subscript"/>
        <sz val="14"/>
        <color indexed="8"/>
        <rFont val="Calibri"/>
        <family val="2"/>
      </rPr>
      <t>RP</t>
    </r>
  </si>
  <si>
    <r>
      <t>calcolo C</t>
    </r>
    <r>
      <rPr>
        <b/>
        <vertAlign val="subscript"/>
        <sz val="14"/>
        <color indexed="8"/>
        <rFont val="Calibri"/>
        <family val="2"/>
      </rPr>
      <t>RnP</t>
    </r>
  </si>
  <si>
    <r>
      <t>calcolo C</t>
    </r>
    <r>
      <rPr>
        <b/>
        <vertAlign val="subscript"/>
        <sz val="14"/>
        <color indexed="8"/>
        <rFont val="Times New Roman"/>
        <family val="1"/>
      </rPr>
      <t>CA</t>
    </r>
  </si>
  <si>
    <r>
      <t>calcoloC</t>
    </r>
    <r>
      <rPr>
        <b/>
        <vertAlign val="subscript"/>
        <sz val="14"/>
        <color indexed="8"/>
        <rFont val="Times New Roman"/>
        <family val="1"/>
      </rPr>
      <t>RI</t>
    </r>
  </si>
  <si>
    <r>
      <t>calcolo C</t>
    </r>
    <r>
      <rPr>
        <b/>
        <vertAlign val="subscript"/>
        <sz val="14"/>
        <color indexed="8"/>
        <rFont val="Times New Roman"/>
        <family val="1"/>
      </rPr>
      <t>OD</t>
    </r>
  </si>
  <si>
    <r>
      <t>calcolo C</t>
    </r>
    <r>
      <rPr>
        <b/>
        <vertAlign val="subscript"/>
        <sz val="14"/>
        <color indexed="8"/>
        <rFont val="Times New Roman"/>
        <family val="1"/>
      </rPr>
      <t>ST</t>
    </r>
  </si>
  <si>
    <r>
      <t>calcolo C</t>
    </r>
    <r>
      <rPr>
        <b/>
        <vertAlign val="subscript"/>
        <sz val="14"/>
        <color indexed="8"/>
        <rFont val="Times New Roman"/>
        <family val="1"/>
      </rPr>
      <t>RA</t>
    </r>
  </si>
  <si>
    <r>
      <t>C</t>
    </r>
    <r>
      <rPr>
        <b/>
        <vertAlign val="subscript"/>
        <sz val="14"/>
        <color indexed="8"/>
        <rFont val="Calibri"/>
        <family val="2"/>
      </rPr>
      <t>dom</t>
    </r>
  </si>
  <si>
    <t>VEDI TAB</t>
  </si>
  <si>
    <t xml:space="preserve">3) Laddove non sono previsti menù a tendina, vale a dire nelle voci relative a NUMERO EMISSIONI IN ATMOSFERA, NUMERO SCARICHI, INQUINANTI, QUANTITATIVI DI RIFIUTI porre attenzione al tipo di dato che viene immesso (DEVE ESSERE UN NUMERO). </t>
  </si>
  <si>
    <t>vd tab. CA</t>
  </si>
  <si>
    <t>Clima acustico  (CA)</t>
  </si>
  <si>
    <t xml:space="preserve">1- impianti svolgenti attività 2.6 o 6.7 </t>
  </si>
  <si>
    <t xml:space="preserve">TARIFFA DA PAGARE </t>
  </si>
  <si>
    <t>REPORT - DETERMINAZIONE DELLA TARIFFA PER ISTANZE DI AUTORIZZAZIONE (IMPIANTI NUOVI) MOD. SOSTANZIALE E RINNOVO AI SENSI DELLA DGR 10124 DEL 7 AGOSTO 2009 -</t>
  </si>
  <si>
    <t>N. di emissioni in atmosfera con "0" inquinanti</t>
  </si>
  <si>
    <t>tariffa</t>
  </si>
  <si>
    <t>N. di emissioni in atmosfera con con inquinanti "da 11 a 17 "</t>
  </si>
  <si>
    <t>N. di emissioni in atmosfera con con inquinanti "più di 17 "</t>
  </si>
  <si>
    <t>N. di emissioni in atmosfera con con inquinanti "da 5 a 10 "</t>
  </si>
  <si>
    <t>n. emissioni</t>
  </si>
  <si>
    <t>N. di emissioni in atmosfera con inquinanti "da 1 a 4 "</t>
  </si>
  <si>
    <t>n. scarichi</t>
  </si>
  <si>
    <t>Volume [mc] oggetto della domanda</t>
  </si>
  <si>
    <t>a 400.000 mc</t>
  </si>
  <si>
    <t>da 400.000 mc</t>
  </si>
  <si>
    <t>a 800.000</t>
  </si>
  <si>
    <t>da 800.000 mc</t>
  </si>
  <si>
    <t>a 1.600.000</t>
  </si>
  <si>
    <t>Oltre 1.600.000</t>
  </si>
  <si>
    <t>tonn/giorno</t>
  </si>
  <si>
    <t>mc</t>
  </si>
  <si>
    <t>SOLO PER L'ATTIVITA' DI DISCARICA D1</t>
  </si>
  <si>
    <t>ULTERIORI COMPONENTI AMBIENTALI</t>
  </si>
  <si>
    <t>2 - tutti gli altri impianti (eccezione di attività 2.6 e 6.7) ricadenti in aree di Classe VI</t>
  </si>
  <si>
    <t>3 - tutti gli altri impianti non inclusi nelle categorie da 1 a 4</t>
  </si>
  <si>
    <t>Impianto con attività ricadente nel D.Lgs 333/99</t>
  </si>
  <si>
    <t>tabella B</t>
  </si>
  <si>
    <t>tabella C</t>
  </si>
  <si>
    <t xml:space="preserve"> impianto e 334</t>
  </si>
  <si>
    <t>tipol. Impianto</t>
  </si>
  <si>
    <t>modalità pres domanda</t>
  </si>
  <si>
    <t>Modalità di presentazione della domanda</t>
  </si>
  <si>
    <t>Tipo di certificazione</t>
  </si>
  <si>
    <t>ISO 14001</t>
  </si>
  <si>
    <t>EMAS</t>
  </si>
  <si>
    <t>EN 16001</t>
  </si>
  <si>
    <t>ISO 14001 + EN 16001</t>
  </si>
  <si>
    <t>EMAS + EN 16001</t>
  </si>
  <si>
    <t>CODICE SCONTO</t>
  </si>
  <si>
    <r>
      <t>T</t>
    </r>
    <r>
      <rPr>
        <b/>
        <vertAlign val="subscript"/>
        <sz val="14"/>
        <color indexed="10"/>
        <rFont val="Verdana"/>
        <family val="2"/>
      </rPr>
      <t>F</t>
    </r>
  </si>
  <si>
    <r>
      <t>T</t>
    </r>
    <r>
      <rPr>
        <b/>
        <vertAlign val="subscript"/>
        <sz val="14"/>
        <color indexed="10"/>
        <rFont val="Verdana"/>
        <family val="2"/>
      </rPr>
      <t>I</t>
    </r>
  </si>
  <si>
    <r>
      <t>codice sconto C</t>
    </r>
    <r>
      <rPr>
        <vertAlign val="subscript"/>
        <sz val="11"/>
        <color indexed="8"/>
        <rFont val="Verdana"/>
        <family val="2"/>
      </rPr>
      <t>SGA</t>
    </r>
  </si>
  <si>
    <r>
      <t>C</t>
    </r>
    <r>
      <rPr>
        <b/>
        <vertAlign val="subscript"/>
        <sz val="11"/>
        <color indexed="8"/>
        <rFont val="Verdana"/>
        <family val="2"/>
      </rPr>
      <t>SGA</t>
    </r>
  </si>
  <si>
    <t>valore sconto</t>
  </si>
  <si>
    <t xml:space="preserve">TARIFFA FINALE: </t>
  </si>
  <si>
    <t xml:space="preserve">4 - RINNOVO </t>
  </si>
  <si>
    <t>TARIFFA RINNOVO</t>
  </si>
  <si>
    <t>2 - IMPIANTO NUOVO</t>
  </si>
  <si>
    <t>3 - MOD SOST</t>
  </si>
  <si>
    <t>SI/NO</t>
  </si>
  <si>
    <t>solo per le l'attività 5.4</t>
  </si>
  <si>
    <r>
      <t>CALCOLO DI C</t>
    </r>
    <r>
      <rPr>
        <b/>
        <vertAlign val="subscript"/>
        <sz val="16"/>
        <color indexed="8"/>
        <rFont val="Verdana"/>
        <family val="2"/>
      </rPr>
      <t>D</t>
    </r>
  </si>
  <si>
    <r>
      <t>calcolo C</t>
    </r>
    <r>
      <rPr>
        <vertAlign val="subscript"/>
        <sz val="14"/>
        <color indexed="10"/>
        <rFont val="Verdana"/>
        <family val="2"/>
      </rPr>
      <t>D</t>
    </r>
  </si>
  <si>
    <r>
      <t>CALCOLO DI C</t>
    </r>
    <r>
      <rPr>
        <b/>
        <vertAlign val="subscript"/>
        <sz val="16"/>
        <color indexed="8"/>
        <rFont val="Verdana"/>
        <family val="2"/>
      </rPr>
      <t>ARIA</t>
    </r>
  </si>
  <si>
    <r>
      <t>C</t>
    </r>
    <r>
      <rPr>
        <b/>
        <vertAlign val="subscript"/>
        <sz val="14"/>
        <color indexed="10"/>
        <rFont val="Verdana"/>
        <family val="2"/>
      </rPr>
      <t>ARIA</t>
    </r>
  </si>
  <si>
    <r>
      <t>CALCOLO DI C</t>
    </r>
    <r>
      <rPr>
        <b/>
        <vertAlign val="subscript"/>
        <sz val="16"/>
        <color indexed="8"/>
        <rFont val="Verdana"/>
        <family val="2"/>
      </rPr>
      <t>H2O</t>
    </r>
  </si>
  <si>
    <r>
      <t>C</t>
    </r>
    <r>
      <rPr>
        <b/>
        <vertAlign val="subscript"/>
        <sz val="14"/>
        <color indexed="10"/>
        <rFont val="Verdana"/>
        <family val="2"/>
      </rPr>
      <t>H20</t>
    </r>
  </si>
  <si>
    <r>
      <t>CALCOLO DI C</t>
    </r>
    <r>
      <rPr>
        <b/>
        <vertAlign val="subscript"/>
        <sz val="16"/>
        <color indexed="8"/>
        <rFont val="Verdana"/>
        <family val="2"/>
      </rPr>
      <t>RP e CRnP</t>
    </r>
  </si>
  <si>
    <r>
      <t>C</t>
    </r>
    <r>
      <rPr>
        <vertAlign val="subscript"/>
        <sz val="11"/>
        <color indexed="8"/>
        <rFont val="Verdana"/>
        <family val="2"/>
      </rPr>
      <t>RP</t>
    </r>
  </si>
  <si>
    <r>
      <t>C</t>
    </r>
    <r>
      <rPr>
        <vertAlign val="subscript"/>
        <sz val="11"/>
        <color indexed="8"/>
        <rFont val="Verdana"/>
        <family val="2"/>
      </rPr>
      <t>RnP</t>
    </r>
  </si>
  <si>
    <r>
      <t>C</t>
    </r>
    <r>
      <rPr>
        <b/>
        <vertAlign val="subscript"/>
        <sz val="14"/>
        <color indexed="10"/>
        <rFont val="Verdana"/>
        <family val="2"/>
      </rPr>
      <t>rifiuti</t>
    </r>
  </si>
  <si>
    <r>
      <t>C</t>
    </r>
    <r>
      <rPr>
        <vertAlign val="subscript"/>
        <sz val="12"/>
        <color indexed="8"/>
        <rFont val="Verdana"/>
        <family val="2"/>
      </rPr>
      <t>CA</t>
    </r>
  </si>
  <si>
    <r>
      <t>C</t>
    </r>
    <r>
      <rPr>
        <vertAlign val="subscript"/>
        <sz val="12"/>
        <color indexed="8"/>
        <rFont val="Verdana"/>
        <family val="2"/>
      </rPr>
      <t>RI</t>
    </r>
  </si>
  <si>
    <r>
      <t>C</t>
    </r>
    <r>
      <rPr>
        <vertAlign val="subscript"/>
        <sz val="12"/>
        <color indexed="8"/>
        <rFont val="Verdana"/>
        <family val="2"/>
      </rPr>
      <t>OD</t>
    </r>
  </si>
  <si>
    <r>
      <t>C</t>
    </r>
    <r>
      <rPr>
        <vertAlign val="subscript"/>
        <sz val="12"/>
        <color indexed="8"/>
        <rFont val="Verdana"/>
        <family val="2"/>
      </rPr>
      <t>ST</t>
    </r>
  </si>
  <si>
    <r>
      <t>C</t>
    </r>
    <r>
      <rPr>
        <vertAlign val="subscript"/>
        <sz val="12"/>
        <color indexed="8"/>
        <rFont val="Verdana"/>
        <family val="2"/>
      </rPr>
      <t>RA</t>
    </r>
  </si>
  <si>
    <r>
      <t>C</t>
    </r>
    <r>
      <rPr>
        <b/>
        <vertAlign val="subscript"/>
        <sz val="14"/>
        <color indexed="10"/>
        <rFont val="Verdana"/>
        <family val="2"/>
      </rPr>
      <t>dom</t>
    </r>
  </si>
  <si>
    <r>
      <t>Se T</t>
    </r>
    <r>
      <rPr>
        <b/>
        <vertAlign val="subscript"/>
        <sz val="11"/>
        <rFont val="Verdana"/>
        <family val="2"/>
      </rPr>
      <t>F</t>
    </r>
    <r>
      <rPr>
        <b/>
        <sz val="11"/>
        <rFont val="Verdana"/>
        <family val="2"/>
      </rPr>
      <t xml:space="preserve"> ≥ 5000 </t>
    </r>
  </si>
  <si>
    <r>
      <t>Se T</t>
    </r>
    <r>
      <rPr>
        <b/>
        <vertAlign val="subscript"/>
        <sz val="11"/>
        <rFont val="Verdana"/>
        <family val="2"/>
      </rPr>
      <t>F</t>
    </r>
    <r>
      <rPr>
        <b/>
        <sz val="11"/>
        <rFont val="Verdana"/>
        <family val="2"/>
      </rPr>
      <t xml:space="preserve"> &lt; 5000</t>
    </r>
  </si>
  <si>
    <r>
      <t>Se T</t>
    </r>
    <r>
      <rPr>
        <b/>
        <vertAlign val="subscript"/>
        <sz val="11"/>
        <color indexed="60"/>
        <rFont val="Verdana"/>
        <family val="2"/>
      </rPr>
      <t>F</t>
    </r>
    <r>
      <rPr>
        <b/>
        <sz val="11"/>
        <color indexed="60"/>
        <rFont val="Verdana"/>
        <family val="2"/>
      </rPr>
      <t xml:space="preserve"> ≥ 5000 </t>
    </r>
  </si>
  <si>
    <r>
      <t>Se T</t>
    </r>
    <r>
      <rPr>
        <b/>
        <vertAlign val="subscript"/>
        <sz val="11"/>
        <color indexed="60"/>
        <rFont val="Verdana"/>
        <family val="2"/>
      </rPr>
      <t>F</t>
    </r>
    <r>
      <rPr>
        <b/>
        <sz val="11"/>
        <color indexed="60"/>
        <rFont val="Verdana"/>
        <family val="2"/>
      </rPr>
      <t xml:space="preserve"> &lt; 5000</t>
    </r>
  </si>
  <si>
    <t>CALCOLO TARIFFA ISTRUTTORIA PER ISTANZA DI AUTORIZZAZIONE - MODIFICA SOSTANZIALE E RINNOVO AI SENSI DELLA DGR 4626/2012  PER ATTIVITA' INDUSTRIALI E DI GESTIONE RIFIUTI</t>
  </si>
  <si>
    <t>N. di scarichi  con "0" inquinanti</t>
  </si>
  <si>
    <t>N. di scarichi  con inquinanti "da 1 a 4"</t>
  </si>
  <si>
    <t>N. di scarichi  con inquinanti "da 5 a 7"</t>
  </si>
  <si>
    <t>N. di scarichi  con inquinanti "da 8 a 12"</t>
  </si>
  <si>
    <t>N. di scarichi  con inquinanti "da 13 a 15"</t>
  </si>
  <si>
    <t>N. di scarichi con inquinanti "più di 15 "</t>
  </si>
  <si>
    <t>NUMERO SCARICHI</t>
  </si>
  <si>
    <t>N. di scarichi con "0" inquinanti</t>
  </si>
  <si>
    <t>N. di scarichi con inquinanti "da 1 a 4"</t>
  </si>
  <si>
    <t>N. di scarichi con inquinanti "da 5 a 7"</t>
  </si>
  <si>
    <t>N. di scarichi con inquinanti "da 8 a 12"</t>
  </si>
  <si>
    <t>N. di scarichi con inquinanti "da 13 a 15"</t>
  </si>
  <si>
    <r>
      <t>CALCOLO DI C</t>
    </r>
    <r>
      <rPr>
        <b/>
        <vertAlign val="subscript"/>
        <sz val="16"/>
        <color indexed="30"/>
        <rFont val="Verdana"/>
        <family val="2"/>
      </rPr>
      <t>D</t>
    </r>
  </si>
  <si>
    <r>
      <t>CALCOLO DI C</t>
    </r>
    <r>
      <rPr>
        <b/>
        <vertAlign val="subscript"/>
        <sz val="16"/>
        <color indexed="30"/>
        <rFont val="Verdana"/>
        <family val="2"/>
      </rPr>
      <t>ARIA</t>
    </r>
  </si>
  <si>
    <r>
      <t>CALCOLO DI C</t>
    </r>
    <r>
      <rPr>
        <b/>
        <vertAlign val="subscript"/>
        <sz val="16"/>
        <color indexed="30"/>
        <rFont val="Verdana"/>
        <family val="2"/>
      </rPr>
      <t>H2O</t>
    </r>
  </si>
  <si>
    <r>
      <t>CALCOLO DI C</t>
    </r>
    <r>
      <rPr>
        <b/>
        <vertAlign val="subscript"/>
        <sz val="16"/>
        <color indexed="30"/>
        <rFont val="Verdana"/>
        <family val="2"/>
      </rPr>
      <t>RP e CRnP</t>
    </r>
  </si>
  <si>
    <t>ATTIVITA' DI GESTIONE RIFIUTI</t>
  </si>
  <si>
    <t>1- impianti svolgenti attività 2.6 o 6.7</t>
  </si>
  <si>
    <t>COD IPPC PRINCIPALE</t>
  </si>
  <si>
    <t>INDIRIZZO</t>
  </si>
  <si>
    <t>classi di emissione</t>
  </si>
  <si>
    <t>classi di scarichi</t>
  </si>
  <si>
    <r>
      <t>calcolo C</t>
    </r>
    <r>
      <rPr>
        <b/>
        <vertAlign val="subscript"/>
        <sz val="14"/>
        <color indexed="8"/>
        <rFont val="Verdana"/>
        <family val="2"/>
      </rPr>
      <t>ARIA</t>
    </r>
  </si>
  <si>
    <r>
      <t>calcolo C</t>
    </r>
    <r>
      <rPr>
        <b/>
        <vertAlign val="subscript"/>
        <sz val="14"/>
        <color indexed="8"/>
        <rFont val="Verdana"/>
        <family val="2"/>
      </rPr>
      <t>H2O</t>
    </r>
  </si>
  <si>
    <t>DISCARICHE: rifiuti pericolosi (mc)</t>
  </si>
  <si>
    <t>DISCARICHE: rifiuti NON pericolosi (mc)</t>
  </si>
  <si>
    <r>
      <t>DISC - calcolo C</t>
    </r>
    <r>
      <rPr>
        <b/>
        <vertAlign val="subscript"/>
        <sz val="14"/>
        <color indexed="8"/>
        <rFont val="Calibri"/>
        <family val="2"/>
      </rPr>
      <t>RP</t>
    </r>
  </si>
  <si>
    <r>
      <t>DISC - calcolo C</t>
    </r>
    <r>
      <rPr>
        <b/>
        <vertAlign val="subscript"/>
        <sz val="14"/>
        <color indexed="8"/>
        <rFont val="Calibri"/>
        <family val="2"/>
      </rPr>
      <t>RnP</t>
    </r>
  </si>
  <si>
    <r>
      <t>calcolo C</t>
    </r>
    <r>
      <rPr>
        <b/>
        <vertAlign val="subscript"/>
        <sz val="14"/>
        <rFont val="Verdana"/>
        <family val="2"/>
      </rPr>
      <t>rifiuti</t>
    </r>
  </si>
  <si>
    <t>0 - Con copia informatizzata</t>
  </si>
  <si>
    <r>
      <t>C</t>
    </r>
    <r>
      <rPr>
        <b/>
        <vertAlign val="subscript"/>
        <sz val="14"/>
        <color indexed="8"/>
        <rFont val="Calibri"/>
        <family val="2"/>
      </rPr>
      <t>sga</t>
    </r>
  </si>
  <si>
    <t>EVENTUALE ANTICIPO VERSATO</t>
  </si>
  <si>
    <t>SALDO</t>
  </si>
  <si>
    <t xml:space="preserve">T </t>
  </si>
  <si>
    <t>TARIFFA ISTRUTTORIA</t>
  </si>
  <si>
    <t>eventuale anticipo</t>
  </si>
  <si>
    <t>0 - DOMANDA NON CONFORME</t>
  </si>
  <si>
    <t>sconto Cdom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</si>
</sst>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h\.mm\.ss"/>
    <numFmt numFmtId="171" formatCode="00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  <numFmt numFmtId="177" formatCode="&quot;€&quot;\ #,##0"/>
    <numFmt numFmtId="178" formatCode="&quot;€&quot;\ #,##0.00"/>
    <numFmt numFmtId="179" formatCode="&quot;Attivo&quot;;&quot;Attivo&quot;;&quot;Inattivo&quot;"/>
    <numFmt numFmtId="180" formatCode="_-* #,##0.0_-;\-* #,##0.0_-;_-* &quot;-&quot;??_-;_-@_-"/>
    <numFmt numFmtId="181" formatCode="_-* #,##0_-;\-* #,##0_-;_-* &quot;-&quot;??_-;_-@_-"/>
    <numFmt numFmtId="182" formatCode="0.000"/>
  </numFmts>
  <fonts count="124">
    <font>
      <sz val="11"/>
      <color theme="1"/>
      <name val="Verdana"/>
      <family val="2"/>
    </font>
    <font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b/>
      <sz val="14"/>
      <color indexed="8"/>
      <name val="Verdana"/>
      <family val="2"/>
    </font>
    <font>
      <b/>
      <i/>
      <sz val="11"/>
      <color indexed="8"/>
      <name val="Verdana"/>
      <family val="2"/>
    </font>
    <font>
      <sz val="8"/>
      <color indexed="25"/>
      <name val="Verdana"/>
      <family val="2"/>
    </font>
    <font>
      <sz val="14"/>
      <color indexed="8"/>
      <name val="Verdana"/>
      <family val="2"/>
    </font>
    <font>
      <b/>
      <sz val="14"/>
      <color indexed="25"/>
      <name val="Verdana"/>
      <family val="2"/>
    </font>
    <font>
      <b/>
      <sz val="11"/>
      <color indexed="10"/>
      <name val="Verdana"/>
      <family val="2"/>
    </font>
    <font>
      <sz val="11"/>
      <color indexed="25"/>
      <name val="Verdana"/>
      <family val="2"/>
    </font>
    <font>
      <sz val="9"/>
      <color indexed="8"/>
      <name val="Verdana"/>
      <family val="2"/>
    </font>
    <font>
      <sz val="10"/>
      <color indexed="56"/>
      <name val="Verdana"/>
      <family val="2"/>
    </font>
    <font>
      <sz val="9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56"/>
      <name val="Verdana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1"/>
      <color indexed="25"/>
      <name val="Verdana"/>
      <family val="2"/>
    </font>
    <font>
      <vertAlign val="subscript"/>
      <sz val="11"/>
      <color indexed="8"/>
      <name val="Calibri"/>
      <family val="2"/>
    </font>
    <font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i/>
      <sz val="11"/>
      <color indexed="56"/>
      <name val="Calibri"/>
      <family val="2"/>
    </font>
    <font>
      <b/>
      <sz val="9"/>
      <color indexed="56"/>
      <name val="Verdana"/>
      <family val="2"/>
    </font>
    <font>
      <b/>
      <i/>
      <sz val="14"/>
      <color indexed="60"/>
      <name val="Verdana"/>
      <family val="2"/>
    </font>
    <font>
      <b/>
      <sz val="9"/>
      <color indexed="56"/>
      <name val="Calibri"/>
      <family val="2"/>
    </font>
    <font>
      <sz val="9"/>
      <color indexed="56"/>
      <name val="Calibri"/>
      <family val="2"/>
    </font>
    <font>
      <i/>
      <sz val="14"/>
      <color indexed="8"/>
      <name val="Verdana"/>
      <family val="2"/>
    </font>
    <font>
      <b/>
      <i/>
      <sz val="14"/>
      <color indexed="8"/>
      <name val="Verdana"/>
      <family val="2"/>
    </font>
    <font>
      <sz val="14"/>
      <color indexed="25"/>
      <name val="Verdana"/>
      <family val="2"/>
    </font>
    <font>
      <b/>
      <vertAlign val="subscript"/>
      <sz val="14"/>
      <color indexed="8"/>
      <name val="Times New Roman"/>
      <family val="1"/>
    </font>
    <font>
      <b/>
      <sz val="14"/>
      <color indexed="10"/>
      <name val="Verdana"/>
      <family val="2"/>
    </font>
    <font>
      <b/>
      <vertAlign val="subscript"/>
      <sz val="14"/>
      <color indexed="10"/>
      <name val="Verdana"/>
      <family val="2"/>
    </font>
    <font>
      <b/>
      <sz val="12"/>
      <name val="Verdana"/>
      <family val="2"/>
    </font>
    <font>
      <b/>
      <sz val="16"/>
      <color indexed="8"/>
      <name val="Verdana"/>
      <family val="2"/>
    </font>
    <font>
      <vertAlign val="subscript"/>
      <sz val="11"/>
      <color indexed="8"/>
      <name val="Verdana"/>
      <family val="2"/>
    </font>
    <font>
      <b/>
      <vertAlign val="subscript"/>
      <sz val="11"/>
      <color indexed="8"/>
      <name val="Verdana"/>
      <family val="2"/>
    </font>
    <font>
      <b/>
      <sz val="18"/>
      <color indexed="10"/>
      <name val="Verdana"/>
      <family val="2"/>
    </font>
    <font>
      <sz val="12"/>
      <color indexed="8"/>
      <name val="Verdana"/>
      <family val="2"/>
    </font>
    <font>
      <b/>
      <vertAlign val="subscript"/>
      <sz val="16"/>
      <color indexed="8"/>
      <name val="Verdana"/>
      <family val="2"/>
    </font>
    <font>
      <vertAlign val="subscript"/>
      <sz val="14"/>
      <color indexed="10"/>
      <name val="Verdana"/>
      <family val="2"/>
    </font>
    <font>
      <vertAlign val="subscript"/>
      <sz val="12"/>
      <color indexed="8"/>
      <name val="Verdana"/>
      <family val="2"/>
    </font>
    <font>
      <b/>
      <sz val="11"/>
      <name val="Verdana"/>
      <family val="2"/>
    </font>
    <font>
      <b/>
      <vertAlign val="subscript"/>
      <sz val="11"/>
      <name val="Verdana"/>
      <family val="2"/>
    </font>
    <font>
      <b/>
      <vertAlign val="subscript"/>
      <sz val="11"/>
      <color indexed="60"/>
      <name val="Verdana"/>
      <family val="2"/>
    </font>
    <font>
      <b/>
      <sz val="11"/>
      <color indexed="60"/>
      <name val="Verdana"/>
      <family val="2"/>
    </font>
    <font>
      <sz val="12"/>
      <name val="Verdana"/>
      <family val="2"/>
    </font>
    <font>
      <b/>
      <vertAlign val="subscript"/>
      <sz val="16"/>
      <color indexed="30"/>
      <name val="Verdana"/>
      <family val="2"/>
    </font>
    <font>
      <b/>
      <vertAlign val="subscript"/>
      <sz val="14"/>
      <color indexed="8"/>
      <name val="Verdana"/>
      <family val="2"/>
    </font>
    <font>
      <b/>
      <sz val="14"/>
      <name val="Verdana"/>
      <family val="2"/>
    </font>
    <font>
      <b/>
      <vertAlign val="subscript"/>
      <sz val="14"/>
      <name val="Verdana"/>
      <family val="2"/>
    </font>
    <font>
      <b/>
      <sz val="12"/>
      <color indexed="10"/>
      <name val="Verdana"/>
      <family val="2"/>
    </font>
    <font>
      <b/>
      <sz val="22"/>
      <color indexed="10"/>
      <name val="Verdana"/>
      <family val="2"/>
    </font>
    <font>
      <sz val="11"/>
      <color indexed="9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u val="single"/>
      <sz val="11"/>
      <color indexed="13"/>
      <name val="Verdana"/>
      <family val="2"/>
    </font>
    <font>
      <u val="single"/>
      <sz val="11"/>
      <color indexed="49"/>
      <name val="Verdana"/>
      <family val="2"/>
    </font>
    <font>
      <sz val="11"/>
      <color indexed="62"/>
      <name val="Verdana"/>
      <family val="2"/>
    </font>
    <font>
      <sz val="11"/>
      <color indexed="60"/>
      <name val="Verdana"/>
      <family val="2"/>
    </font>
    <font>
      <sz val="11"/>
      <color indexed="8"/>
      <name val="Franklin Gothic Book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18"/>
      <color indexed="21"/>
      <name val="Verdana"/>
      <family val="2"/>
    </font>
    <font>
      <b/>
      <sz val="15"/>
      <color indexed="21"/>
      <name val="Verdana"/>
      <family val="2"/>
    </font>
    <font>
      <b/>
      <sz val="13"/>
      <color indexed="21"/>
      <name val="Verdana"/>
      <family val="2"/>
    </font>
    <font>
      <b/>
      <sz val="11"/>
      <color indexed="21"/>
      <name val="Verdana"/>
      <family val="2"/>
    </font>
    <font>
      <sz val="11"/>
      <color indexed="20"/>
      <name val="Verdana"/>
      <family val="2"/>
    </font>
    <font>
      <sz val="11"/>
      <color indexed="17"/>
      <name val="Verdana"/>
      <family val="2"/>
    </font>
    <font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6"/>
      <color indexed="30"/>
      <name val="Verdana"/>
      <family val="2"/>
    </font>
    <font>
      <b/>
      <sz val="20"/>
      <color indexed="8"/>
      <name val="Verdana"/>
      <family val="2"/>
    </font>
    <font>
      <sz val="22"/>
      <color indexed="8"/>
      <name val="Verdana"/>
      <family val="2"/>
    </font>
    <font>
      <b/>
      <sz val="11"/>
      <color indexed="8"/>
      <name val="Comic Sans MS"/>
      <family val="0"/>
    </font>
    <font>
      <sz val="11"/>
      <color indexed="8"/>
      <name val="Comic Sans MS"/>
      <family val="0"/>
    </font>
    <font>
      <b/>
      <sz val="20"/>
      <color indexed="8"/>
      <name val="Comic Sans MS"/>
      <family val="0"/>
    </font>
    <font>
      <b/>
      <vertAlign val="subscript"/>
      <sz val="20"/>
      <color indexed="8"/>
      <name val="Comic Sans MS"/>
      <family val="0"/>
    </font>
    <font>
      <b/>
      <sz val="12"/>
      <color indexed="8"/>
      <name val="Comic Sans MS"/>
      <family val="0"/>
    </font>
    <font>
      <b/>
      <i/>
      <sz val="12"/>
      <color indexed="8"/>
      <name val="Comic Sans MS"/>
      <family val="0"/>
    </font>
    <font>
      <b/>
      <i/>
      <vertAlign val="subscript"/>
      <sz val="12"/>
      <color indexed="8"/>
      <name val="Comic Sans MS"/>
      <family val="0"/>
    </font>
    <font>
      <b/>
      <i/>
      <u val="single"/>
      <sz val="12"/>
      <color indexed="8"/>
      <name val="Comic Sans MS"/>
      <family val="0"/>
    </font>
    <font>
      <sz val="11"/>
      <color theme="0"/>
      <name val="Verdana"/>
      <family val="2"/>
    </font>
    <font>
      <b/>
      <sz val="11"/>
      <color rgb="FFFA7D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u val="single"/>
      <sz val="11"/>
      <color theme="10"/>
      <name val="Verdana"/>
      <family val="2"/>
    </font>
    <font>
      <u val="single"/>
      <sz val="11"/>
      <color theme="11"/>
      <name val="Verdana"/>
      <family val="2"/>
    </font>
    <font>
      <sz val="11"/>
      <color rgb="FF3F3F76"/>
      <name val="Verdana"/>
      <family val="2"/>
    </font>
    <font>
      <sz val="11"/>
      <color rgb="FF9C6500"/>
      <name val="Verdana"/>
      <family val="2"/>
    </font>
    <font>
      <sz val="11"/>
      <color theme="1"/>
      <name val="Franklin Gothic Book"/>
      <family val="2"/>
    </font>
    <font>
      <b/>
      <sz val="11"/>
      <color rgb="FF3F3F3F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sz val="11"/>
      <color rgb="FF006100"/>
      <name val="Verdana"/>
      <family val="2"/>
    </font>
    <font>
      <sz val="14"/>
      <color theme="1"/>
      <name val="Verdana"/>
      <family val="2"/>
    </font>
    <font>
      <i/>
      <sz val="11"/>
      <color theme="1"/>
      <name val="Verdana"/>
      <family val="2"/>
    </font>
    <font>
      <b/>
      <i/>
      <sz val="11"/>
      <color theme="1"/>
      <name val="Verdana"/>
      <family val="2"/>
    </font>
    <font>
      <b/>
      <sz val="14"/>
      <color rgb="FFFF0000"/>
      <name val="Verdana"/>
      <family val="2"/>
    </font>
    <font>
      <sz val="16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4"/>
      <color rgb="FF000000"/>
      <name val="Verdana"/>
      <family val="2"/>
    </font>
    <font>
      <b/>
      <sz val="11"/>
      <color rgb="FFC00000"/>
      <name val="Verdana"/>
      <family val="2"/>
    </font>
    <font>
      <sz val="11"/>
      <color rgb="FFC00000"/>
      <name val="Verdana"/>
      <family val="2"/>
    </font>
    <font>
      <b/>
      <sz val="14"/>
      <color theme="1"/>
      <name val="Verdana"/>
      <family val="2"/>
    </font>
    <font>
      <b/>
      <sz val="16"/>
      <color theme="4"/>
      <name val="Verdana"/>
      <family val="2"/>
    </font>
    <font>
      <sz val="9"/>
      <color theme="1"/>
      <name val="Verdana"/>
      <family val="2"/>
    </font>
    <font>
      <b/>
      <sz val="16"/>
      <color theme="1"/>
      <name val="Verdana"/>
      <family val="2"/>
    </font>
    <font>
      <b/>
      <sz val="20"/>
      <color theme="1"/>
      <name val="Verdana"/>
      <family val="2"/>
    </font>
    <font>
      <sz val="22"/>
      <color theme="1"/>
      <name val="Verdan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1" applyNumberFormat="0" applyAlignment="0" applyProtection="0"/>
    <xf numFmtId="0" fontId="91" fillId="0" borderId="2" applyNumberFormat="0" applyFill="0" applyAlignment="0" applyProtection="0"/>
    <xf numFmtId="0" fontId="92" fillId="21" borderId="3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95" fillId="28" borderId="1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96" fillId="29" borderId="0" applyNumberFormat="0" applyBorder="0" applyAlignment="0" applyProtection="0"/>
    <xf numFmtId="0" fontId="97" fillId="0" borderId="0">
      <alignment/>
      <protection/>
    </xf>
    <xf numFmtId="0" fontId="6" fillId="30" borderId="4" applyNumberFormat="0" applyFont="0" applyAlignment="0" applyProtection="0"/>
    <xf numFmtId="0" fontId="98" fillId="20" borderId="5" applyNumberFormat="0" applyAlignment="0" applyProtection="0"/>
    <xf numFmtId="9" fontId="6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31" borderId="0" applyNumberFormat="0" applyBorder="0" applyAlignment="0" applyProtection="0"/>
    <xf numFmtId="0" fontId="107" fillId="32" borderId="0" applyNumberFormat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1" fontId="14" fillId="33" borderId="10" xfId="0" applyNumberFormat="1" applyFont="1" applyFill="1" applyBorder="1" applyAlignment="1" applyProtection="1">
      <alignment/>
      <protection/>
    </xf>
    <xf numFmtId="177" fontId="24" fillId="33" borderId="10" xfId="0" applyNumberFormat="1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0" fillId="36" borderId="10" xfId="0" applyFont="1" applyFill="1" applyBorder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1" fillId="33" borderId="13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0" fillId="34" borderId="0" xfId="0" applyNumberFormat="1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0" fontId="8" fillId="37" borderId="10" xfId="0" applyFont="1" applyFill="1" applyBorder="1" applyAlignment="1" applyProtection="1">
      <alignment/>
      <protection hidden="1"/>
    </xf>
    <xf numFmtId="1" fontId="0" fillId="34" borderId="0" xfId="0" applyNumberFormat="1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1" fontId="24" fillId="34" borderId="0" xfId="0" applyNumberFormat="1" applyFont="1" applyFill="1" applyBorder="1" applyAlignment="1" applyProtection="1">
      <alignment/>
      <protection hidden="1"/>
    </xf>
    <xf numFmtId="0" fontId="8" fillId="37" borderId="14" xfId="0" applyFont="1" applyFill="1" applyBorder="1" applyAlignment="1" applyProtection="1">
      <alignment horizontal="left"/>
      <protection hidden="1"/>
    </xf>
    <xf numFmtId="1" fontId="24" fillId="33" borderId="10" xfId="0" applyNumberFormat="1" applyFont="1" applyFill="1" applyBorder="1" applyAlignment="1" applyProtection="1">
      <alignment/>
      <protection hidden="1"/>
    </xf>
    <xf numFmtId="0" fontId="8" fillId="37" borderId="10" xfId="0" applyFont="1" applyFill="1" applyBorder="1" applyAlignment="1" applyProtection="1">
      <alignment horizontal="left"/>
      <protection hidden="1"/>
    </xf>
    <xf numFmtId="0" fontId="0" fillId="37" borderId="10" xfId="0" applyFont="1" applyFill="1" applyBorder="1" applyAlignment="1" applyProtection="1">
      <alignment/>
      <protection hidden="1"/>
    </xf>
    <xf numFmtId="2" fontId="24" fillId="33" borderId="10" xfId="0" applyNumberFormat="1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 locked="0"/>
    </xf>
    <xf numFmtId="0" fontId="9" fillId="33" borderId="15" xfId="0" applyFont="1" applyFill="1" applyBorder="1" applyAlignment="1" applyProtection="1">
      <alignment/>
      <protection hidden="1" locked="0"/>
    </xf>
    <xf numFmtId="0" fontId="0" fillId="33" borderId="15" xfId="0" applyFont="1" applyFill="1" applyBorder="1" applyAlignment="1" applyProtection="1">
      <alignment/>
      <protection hidden="1" locked="0"/>
    </xf>
    <xf numFmtId="176" fontId="8" fillId="38" borderId="16" xfId="0" applyNumberFormat="1" applyFont="1" applyFill="1" applyBorder="1" applyAlignment="1" applyProtection="1">
      <alignment/>
      <protection hidden="1" locked="0"/>
    </xf>
    <xf numFmtId="176" fontId="8" fillId="38" borderId="15" xfId="0" applyNumberFormat="1" applyFont="1" applyFill="1" applyBorder="1" applyAlignment="1" applyProtection="1">
      <alignment/>
      <protection hidden="1" locked="0"/>
    </xf>
    <xf numFmtId="1" fontId="8" fillId="38" borderId="13" xfId="0" applyNumberFormat="1" applyFont="1" applyFill="1" applyBorder="1" applyAlignment="1" applyProtection="1">
      <alignment/>
      <protection hidden="1" locked="0"/>
    </xf>
    <xf numFmtId="1" fontId="8" fillId="38" borderId="16" xfId="0" applyNumberFormat="1" applyFont="1" applyFill="1" applyBorder="1" applyAlignment="1" applyProtection="1">
      <alignment/>
      <protection hidden="1" locked="0"/>
    </xf>
    <xf numFmtId="176" fontId="8" fillId="38" borderId="13" xfId="0" applyNumberFormat="1" applyFont="1" applyFill="1" applyBorder="1" applyAlignment="1" applyProtection="1">
      <alignment/>
      <protection hidden="1" locked="0"/>
    </xf>
    <xf numFmtId="176" fontId="8" fillId="38" borderId="17" xfId="0" applyNumberFormat="1" applyFont="1" applyFill="1" applyBorder="1" applyAlignment="1" applyProtection="1">
      <alignment/>
      <protection hidden="1" locked="0"/>
    </xf>
    <xf numFmtId="177" fontId="14" fillId="33" borderId="10" xfId="0" applyNumberFormat="1" applyFont="1" applyFill="1" applyBorder="1" applyAlignment="1" applyProtection="1">
      <alignment/>
      <protection/>
    </xf>
    <xf numFmtId="2" fontId="14" fillId="33" borderId="10" xfId="0" applyNumberFormat="1" applyFont="1" applyFill="1" applyBorder="1" applyAlignment="1" applyProtection="1">
      <alignment/>
      <protection/>
    </xf>
    <xf numFmtId="0" fontId="108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33" fillId="33" borderId="13" xfId="0" applyFont="1" applyFill="1" applyBorder="1" applyAlignment="1" applyProtection="1">
      <alignment horizontal="left" vertical="center" wrapText="1"/>
      <protection/>
    </xf>
    <xf numFmtId="0" fontId="108" fillId="33" borderId="11" xfId="0" applyFont="1" applyFill="1" applyBorder="1" applyAlignment="1" applyProtection="1">
      <alignment/>
      <protection/>
    </xf>
    <xf numFmtId="0" fontId="108" fillId="33" borderId="12" xfId="0" applyFont="1" applyFill="1" applyBorder="1" applyAlignment="1" applyProtection="1">
      <alignment/>
      <protection/>
    </xf>
    <xf numFmtId="0" fontId="108" fillId="33" borderId="18" xfId="0" applyFont="1" applyFill="1" applyBorder="1" applyAlignment="1" applyProtection="1">
      <alignment/>
      <protection/>
    </xf>
    <xf numFmtId="0" fontId="108" fillId="33" borderId="19" xfId="0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 applyProtection="1">
      <alignment/>
      <protection/>
    </xf>
    <xf numFmtId="0" fontId="34" fillId="33" borderId="0" xfId="0" applyFont="1" applyFill="1" applyBorder="1" applyAlignment="1" applyProtection="1">
      <alignment/>
      <protection/>
    </xf>
    <xf numFmtId="0" fontId="108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Font="1" applyFill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1" fontId="108" fillId="33" borderId="0" xfId="0" applyNumberFormat="1" applyFont="1" applyFill="1" applyAlignment="1" applyProtection="1">
      <alignment/>
      <protection/>
    </xf>
    <xf numFmtId="0" fontId="10" fillId="33" borderId="13" xfId="0" applyFont="1" applyFill="1" applyBorder="1" applyAlignment="1" applyProtection="1">
      <alignment horizontal="center"/>
      <protection/>
    </xf>
    <xf numFmtId="0" fontId="108" fillId="33" borderId="15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 horizontal="left"/>
      <protection/>
    </xf>
    <xf numFmtId="0" fontId="10" fillId="33" borderId="15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108" fillId="33" borderId="10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 horizontal="center"/>
      <protection/>
    </xf>
    <xf numFmtId="0" fontId="109" fillId="33" borderId="15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 locked="0"/>
    </xf>
    <xf numFmtId="0" fontId="15" fillId="39" borderId="10" xfId="0" applyFont="1" applyFill="1" applyBorder="1" applyAlignment="1" applyProtection="1">
      <alignment horizontal="center" wrapText="1"/>
      <protection hidden="1" locked="0"/>
    </xf>
    <xf numFmtId="0" fontId="8" fillId="39" borderId="10" xfId="0" applyFont="1" applyFill="1" applyBorder="1" applyAlignment="1" applyProtection="1">
      <alignment/>
      <protection hidden="1" locked="0"/>
    </xf>
    <xf numFmtId="0" fontId="7" fillId="0" borderId="10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 horizontal="center" wrapText="1"/>
      <protection hidden="1" locked="0"/>
    </xf>
    <xf numFmtId="0" fontId="0" fillId="0" borderId="21" xfId="0" applyFont="1" applyBorder="1" applyAlignment="1" applyProtection="1">
      <alignment vertical="top" wrapText="1"/>
      <protection hidden="1" locked="0"/>
    </xf>
    <xf numFmtId="0" fontId="0" fillId="0" borderId="22" xfId="0" applyFont="1" applyBorder="1" applyAlignment="1" applyProtection="1">
      <alignment horizontal="center" wrapText="1"/>
      <protection hidden="1" locked="0"/>
    </xf>
    <xf numFmtId="0" fontId="9" fillId="0" borderId="10" xfId="0" applyFont="1" applyBorder="1" applyAlignment="1" applyProtection="1">
      <alignment horizontal="left"/>
      <protection hidden="1" locked="0"/>
    </xf>
    <xf numFmtId="0" fontId="12" fillId="0" borderId="10" xfId="0" applyFont="1" applyBorder="1" applyAlignment="1" applyProtection="1">
      <alignment wrapText="1"/>
      <protection hidden="1" locked="0"/>
    </xf>
    <xf numFmtId="0" fontId="16" fillId="0" borderId="10" xfId="0" applyFont="1" applyBorder="1" applyAlignment="1" applyProtection="1">
      <alignment/>
      <protection hidden="1" locked="0"/>
    </xf>
    <xf numFmtId="0" fontId="0" fillId="40" borderId="23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 locked="0"/>
    </xf>
    <xf numFmtId="0" fontId="108" fillId="41" borderId="0" xfId="0" applyFont="1" applyFill="1" applyBorder="1" applyAlignment="1" applyProtection="1">
      <alignment/>
      <protection/>
    </xf>
    <xf numFmtId="0" fontId="10" fillId="41" borderId="0" xfId="0" applyFont="1" applyFill="1" applyBorder="1" applyAlignment="1" applyProtection="1">
      <alignment/>
      <protection/>
    </xf>
    <xf numFmtId="177" fontId="14" fillId="41" borderId="0" xfId="0" applyNumberFormat="1" applyFont="1" applyFill="1" applyBorder="1" applyAlignment="1" applyProtection="1">
      <alignment/>
      <protection/>
    </xf>
    <xf numFmtId="0" fontId="105" fillId="0" borderId="0" xfId="0" applyFont="1" applyAlignment="1" applyProtection="1">
      <alignment/>
      <protection hidden="1" locked="0"/>
    </xf>
    <xf numFmtId="0" fontId="0" fillId="42" borderId="10" xfId="0" applyFont="1" applyFill="1" applyBorder="1" applyAlignment="1" applyProtection="1">
      <alignment horizontal="center" wrapText="1"/>
      <protection hidden="1" locked="0"/>
    </xf>
    <xf numFmtId="0" fontId="37" fillId="39" borderId="10" xfId="0" applyFont="1" applyFill="1" applyBorder="1" applyAlignment="1" applyProtection="1">
      <alignment horizontal="center" wrapText="1"/>
      <protection hidden="1" locked="0"/>
    </xf>
    <xf numFmtId="0" fontId="39" fillId="0" borderId="10" xfId="0" applyFont="1" applyBorder="1" applyAlignment="1" applyProtection="1">
      <alignment horizontal="center" wrapText="1"/>
      <protection hidden="1" locked="0"/>
    </xf>
    <xf numFmtId="0" fontId="105" fillId="0" borderId="24" xfId="0" applyFont="1" applyBorder="1" applyAlignment="1" applyProtection="1">
      <alignment horizontal="center"/>
      <protection hidden="1" locked="0"/>
    </xf>
    <xf numFmtId="0" fontId="105" fillId="0" borderId="25" xfId="0" applyFont="1" applyBorder="1" applyAlignment="1" applyProtection="1">
      <alignment horizontal="center" wrapText="1"/>
      <protection hidden="1" locked="0"/>
    </xf>
    <xf numFmtId="0" fontId="105" fillId="0" borderId="21" xfId="0" applyFont="1" applyBorder="1" applyAlignment="1" applyProtection="1">
      <alignment horizontal="center" wrapText="1"/>
      <protection hidden="1" locked="0"/>
    </xf>
    <xf numFmtId="0" fontId="105" fillId="38" borderId="26" xfId="0" applyFont="1" applyFill="1" applyBorder="1" applyAlignment="1" applyProtection="1">
      <alignment/>
      <protection hidden="1" locked="0"/>
    </xf>
    <xf numFmtId="0" fontId="110" fillId="0" borderId="0" xfId="0" applyFont="1" applyAlignment="1" applyProtection="1">
      <alignment/>
      <protection hidden="1" locked="0"/>
    </xf>
    <xf numFmtId="0" fontId="105" fillId="43" borderId="27" xfId="0" applyFont="1" applyFill="1" applyBorder="1" applyAlignment="1" applyProtection="1">
      <alignment/>
      <protection hidden="1" locked="0"/>
    </xf>
    <xf numFmtId="0" fontId="105" fillId="43" borderId="28" xfId="0" applyFont="1" applyFill="1" applyBorder="1" applyAlignment="1" applyProtection="1">
      <alignment/>
      <protection hidden="1" locked="0"/>
    </xf>
    <xf numFmtId="0" fontId="105" fillId="35" borderId="29" xfId="0" applyFont="1" applyFill="1" applyBorder="1" applyAlignment="1" applyProtection="1">
      <alignment horizontal="center"/>
      <protection hidden="1" locked="0"/>
    </xf>
    <xf numFmtId="0" fontId="111" fillId="39" borderId="26" xfId="0" applyFont="1" applyFill="1" applyBorder="1" applyAlignment="1" applyProtection="1">
      <alignment horizontal="center" wrapText="1"/>
      <protection hidden="1" locked="0"/>
    </xf>
    <xf numFmtId="0" fontId="105" fillId="0" borderId="30" xfId="0" applyFont="1" applyBorder="1" applyAlignment="1" applyProtection="1">
      <alignment/>
      <protection hidden="1" locked="0"/>
    </xf>
    <xf numFmtId="0" fontId="105" fillId="0" borderId="0" xfId="0" applyFont="1" applyAlignment="1" applyProtection="1">
      <alignment horizontal="center"/>
      <protection hidden="1" locked="0"/>
    </xf>
    <xf numFmtId="0" fontId="105" fillId="44" borderId="31" xfId="0" applyFont="1" applyFill="1" applyBorder="1" applyAlignment="1" applyProtection="1">
      <alignment/>
      <protection hidden="1" locked="0"/>
    </xf>
    <xf numFmtId="0" fontId="105" fillId="44" borderId="32" xfId="0" applyFont="1" applyFill="1" applyBorder="1" applyAlignment="1" applyProtection="1">
      <alignment/>
      <protection hidden="1" locked="0"/>
    </xf>
    <xf numFmtId="0" fontId="105" fillId="44" borderId="17" xfId="0" applyFont="1" applyFill="1" applyBorder="1" applyAlignment="1" applyProtection="1">
      <alignment/>
      <protection hidden="1" locked="0"/>
    </xf>
    <xf numFmtId="43" fontId="43" fillId="39" borderId="26" xfId="0" applyNumberFormat="1" applyFont="1" applyFill="1" applyBorder="1" applyAlignment="1" applyProtection="1">
      <alignment horizontal="center" wrapText="1"/>
      <protection hidden="1" locked="0"/>
    </xf>
    <xf numFmtId="0" fontId="10" fillId="0" borderId="0" xfId="0" applyFont="1" applyAlignment="1" applyProtection="1">
      <alignment/>
      <protection hidden="1" locked="0"/>
    </xf>
    <xf numFmtId="0" fontId="105" fillId="35" borderId="10" xfId="0" applyFont="1" applyFill="1" applyBorder="1" applyAlignment="1" applyProtection="1">
      <alignment/>
      <protection hidden="1" locked="0"/>
    </xf>
    <xf numFmtId="0" fontId="112" fillId="0" borderId="0" xfId="0" applyFont="1" applyAlignment="1" applyProtection="1">
      <alignment/>
      <protection hidden="1" locked="0"/>
    </xf>
    <xf numFmtId="0" fontId="113" fillId="45" borderId="10" xfId="0" applyFont="1" applyFill="1" applyBorder="1" applyAlignment="1" applyProtection="1">
      <alignment/>
      <protection hidden="1" locked="0"/>
    </xf>
    <xf numFmtId="0" fontId="114" fillId="45" borderId="10" xfId="0" applyFont="1" applyFill="1" applyBorder="1" applyAlignment="1" applyProtection="1">
      <alignment horizontal="center" wrapText="1"/>
      <protection hidden="1" locked="0"/>
    </xf>
    <xf numFmtId="0" fontId="8" fillId="42" borderId="10" xfId="0" applyFont="1" applyFill="1" applyBorder="1" applyAlignment="1" applyProtection="1">
      <alignment horizontal="center" wrapText="1"/>
      <protection hidden="1" locked="0"/>
    </xf>
    <xf numFmtId="0" fontId="8" fillId="42" borderId="10" xfId="0" applyFont="1" applyFill="1" applyBorder="1" applyAlignment="1" applyProtection="1">
      <alignment horizontal="center" wrapText="1"/>
      <protection hidden="1" locked="0"/>
    </xf>
    <xf numFmtId="0" fontId="114" fillId="45" borderId="10" xfId="0" applyFont="1" applyFill="1" applyBorder="1" applyAlignment="1" applyProtection="1">
      <alignment horizontal="center"/>
      <protection hidden="1" locked="0"/>
    </xf>
    <xf numFmtId="0" fontId="105" fillId="0" borderId="0" xfId="0" applyFont="1" applyAlignment="1" applyProtection="1">
      <alignment horizontal="right"/>
      <protection hidden="1" locked="0"/>
    </xf>
    <xf numFmtId="0" fontId="0" fillId="0" borderId="0" xfId="0" applyFont="1" applyAlignment="1" applyProtection="1">
      <alignment/>
      <protection hidden="1" locked="0"/>
    </xf>
    <xf numFmtId="0" fontId="115" fillId="0" borderId="0" xfId="0" applyFont="1" applyAlignment="1">
      <alignment horizontal="left" vertical="center" readingOrder="1"/>
    </xf>
    <xf numFmtId="0" fontId="40" fillId="0" borderId="0" xfId="0" applyFont="1" applyAlignment="1" applyProtection="1">
      <alignment/>
      <protection hidden="1" locked="0"/>
    </xf>
    <xf numFmtId="1" fontId="0" fillId="0" borderId="0" xfId="0" applyNumberFormat="1" applyFont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/>
      <protection hidden="1" locked="0"/>
    </xf>
    <xf numFmtId="0" fontId="0" fillId="35" borderId="29" xfId="0" applyFont="1" applyFill="1" applyBorder="1" applyAlignment="1" applyProtection="1">
      <alignment horizontal="center"/>
      <protection hidden="1" locked="0"/>
    </xf>
    <xf numFmtId="0" fontId="0" fillId="43" borderId="29" xfId="0" applyFont="1" applyFill="1" applyBorder="1" applyAlignment="1" applyProtection="1">
      <alignment/>
      <protection hidden="1" locked="0"/>
    </xf>
    <xf numFmtId="0" fontId="0" fillId="43" borderId="33" xfId="0" applyFont="1" applyFill="1" applyBorder="1" applyAlignment="1" applyProtection="1">
      <alignment/>
      <protection hidden="1" locked="0"/>
    </xf>
    <xf numFmtId="0" fontId="0" fillId="0" borderId="34" xfId="0" applyFont="1" applyBorder="1" applyAlignment="1" applyProtection="1">
      <alignment horizontal="center"/>
      <protection hidden="1" locked="0"/>
    </xf>
    <xf numFmtId="0" fontId="0" fillId="35" borderId="35" xfId="0" applyFont="1" applyFill="1" applyBorder="1" applyAlignment="1" applyProtection="1">
      <alignment horizontal="center"/>
      <protection hidden="1" locked="0"/>
    </xf>
    <xf numFmtId="0" fontId="0" fillId="38" borderId="26" xfId="0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46" borderId="10" xfId="0" applyFont="1" applyFill="1" applyBorder="1" applyAlignment="1" applyProtection="1">
      <alignment/>
      <protection hidden="1" locked="0"/>
    </xf>
    <xf numFmtId="0" fontId="48" fillId="46" borderId="26" xfId="0" applyFont="1" applyFill="1" applyBorder="1" applyAlignment="1">
      <alignment horizontal="center" vertical="center" wrapText="1"/>
    </xf>
    <xf numFmtId="43" fontId="0" fillId="0" borderId="23" xfId="45" applyFont="1" applyBorder="1" applyAlignment="1" applyProtection="1">
      <alignment/>
      <protection hidden="1" locked="0"/>
    </xf>
    <xf numFmtId="43" fontId="0" fillId="44" borderId="26" xfId="0" applyNumberFormat="1" applyFont="1" applyFill="1" applyBorder="1" applyAlignment="1" applyProtection="1">
      <alignment/>
      <protection hidden="1" locked="0"/>
    </xf>
    <xf numFmtId="0" fontId="116" fillId="46" borderId="26" xfId="0" applyFont="1" applyFill="1" applyBorder="1" applyAlignment="1">
      <alignment horizontal="justify" vertical="center" wrapText="1"/>
    </xf>
    <xf numFmtId="0" fontId="116" fillId="46" borderId="36" xfId="0" applyFont="1" applyFill="1" applyBorder="1" applyAlignment="1">
      <alignment horizontal="center" vertical="center" wrapText="1"/>
    </xf>
    <xf numFmtId="0" fontId="116" fillId="0" borderId="37" xfId="0" applyFont="1" applyBorder="1" applyAlignment="1">
      <alignment horizontal="justify" vertical="center" wrapText="1"/>
    </xf>
    <xf numFmtId="9" fontId="117" fillId="0" borderId="38" xfId="0" applyNumberFormat="1" applyFont="1" applyBorder="1" applyAlignment="1">
      <alignment horizontal="center" vertical="center" wrapText="1"/>
    </xf>
    <xf numFmtId="0" fontId="117" fillId="0" borderId="38" xfId="0" applyFont="1" applyBorder="1" applyAlignment="1">
      <alignment horizontal="center" vertical="center" wrapText="1"/>
    </xf>
    <xf numFmtId="0" fontId="116" fillId="0" borderId="0" xfId="0" applyFont="1" applyBorder="1" applyAlignment="1">
      <alignment horizontal="justify" vertical="center" wrapText="1"/>
    </xf>
    <xf numFmtId="9" fontId="117" fillId="0" borderId="0" xfId="0" applyNumberFormat="1" applyFont="1" applyBorder="1" applyAlignment="1">
      <alignment horizontal="center" vertical="center" wrapText="1"/>
    </xf>
    <xf numFmtId="0" fontId="1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hidden="1" locked="0"/>
    </xf>
    <xf numFmtId="176" fontId="0" fillId="0" borderId="0" xfId="0" applyNumberFormat="1" applyFont="1" applyBorder="1" applyAlignment="1" applyProtection="1">
      <alignment/>
      <protection hidden="1" locked="0"/>
    </xf>
    <xf numFmtId="1" fontId="0" fillId="0" borderId="0" xfId="0" applyNumberFormat="1" applyFont="1" applyBorder="1" applyAlignment="1" applyProtection="1">
      <alignment/>
      <protection hidden="1" locked="0"/>
    </xf>
    <xf numFmtId="176" fontId="0" fillId="0" borderId="0" xfId="0" applyNumberFormat="1" applyFont="1" applyAlignment="1" applyProtection="1">
      <alignment/>
      <protection hidden="1" locked="0"/>
    </xf>
    <xf numFmtId="0" fontId="105" fillId="0" borderId="39" xfId="0" applyFont="1" applyBorder="1" applyAlignment="1">
      <alignment horizontal="center" vertical="center" wrapText="1"/>
    </xf>
    <xf numFmtId="0" fontId="105" fillId="0" borderId="40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34" fillId="41" borderId="0" xfId="0" applyFont="1" applyFill="1" applyBorder="1" applyAlignment="1" applyProtection="1">
      <alignment horizontal="center" vertical="center" wrapText="1"/>
      <protection/>
    </xf>
    <xf numFmtId="0" fontId="13" fillId="41" borderId="0" xfId="0" applyFont="1" applyFill="1" applyBorder="1" applyAlignment="1" applyProtection="1">
      <alignment horizontal="center" vertical="center" wrapText="1"/>
      <protection/>
    </xf>
    <xf numFmtId="0" fontId="108" fillId="33" borderId="10" xfId="0" applyFont="1" applyFill="1" applyBorder="1" applyAlignment="1" applyProtection="1">
      <alignment horizontal="left"/>
      <protection/>
    </xf>
    <xf numFmtId="0" fontId="33" fillId="38" borderId="13" xfId="0" applyFont="1" applyFill="1" applyBorder="1" applyAlignment="1" applyProtection="1">
      <alignment horizontal="left" vertical="center" wrapText="1"/>
      <protection/>
    </xf>
    <xf numFmtId="0" fontId="33" fillId="38" borderId="15" xfId="0" applyFont="1" applyFill="1" applyBorder="1" applyAlignment="1" applyProtection="1">
      <alignment/>
      <protection/>
    </xf>
    <xf numFmtId="0" fontId="33" fillId="38" borderId="16" xfId="0" applyFont="1" applyFill="1" applyBorder="1" applyAlignment="1" applyProtection="1">
      <alignment/>
      <protection/>
    </xf>
    <xf numFmtId="0" fontId="111" fillId="39" borderId="37" xfId="0" applyFont="1" applyFill="1" applyBorder="1" applyAlignment="1" applyProtection="1">
      <alignment horizontal="center" wrapText="1"/>
      <protection hidden="1" locked="0"/>
    </xf>
    <xf numFmtId="0" fontId="105" fillId="35" borderId="42" xfId="0" applyFont="1" applyFill="1" applyBorder="1" applyAlignment="1" applyProtection="1">
      <alignment horizontal="center"/>
      <protection hidden="1" locked="0"/>
    </xf>
    <xf numFmtId="0" fontId="105" fillId="43" borderId="13" xfId="0" applyFont="1" applyFill="1" applyBorder="1" applyAlignment="1" applyProtection="1">
      <alignment/>
      <protection hidden="1" locked="0"/>
    </xf>
    <xf numFmtId="0" fontId="105" fillId="43" borderId="15" xfId="0" applyFont="1" applyFill="1" applyBorder="1" applyAlignment="1" applyProtection="1">
      <alignment/>
      <protection hidden="1" locked="0"/>
    </xf>
    <xf numFmtId="0" fontId="105" fillId="43" borderId="16" xfId="0" applyFont="1" applyFill="1" applyBorder="1" applyAlignment="1" applyProtection="1">
      <alignment/>
      <protection hidden="1" locked="0"/>
    </xf>
    <xf numFmtId="0" fontId="52" fillId="0" borderId="10" xfId="0" applyFont="1" applyBorder="1" applyAlignment="1" applyProtection="1">
      <alignment horizontal="center" wrapText="1"/>
      <protection hidden="1" locked="0"/>
    </xf>
    <xf numFmtId="0" fontId="0" fillId="18" borderId="35" xfId="0" applyFont="1" applyFill="1" applyBorder="1" applyAlignment="1" applyProtection="1">
      <alignment horizontal="center"/>
      <protection hidden="1" locked="0"/>
    </xf>
    <xf numFmtId="0" fontId="105" fillId="35" borderId="35" xfId="0" applyFont="1" applyFill="1" applyBorder="1" applyAlignment="1" applyProtection="1">
      <alignment horizontal="center"/>
      <protection hidden="1" locked="0"/>
    </xf>
    <xf numFmtId="0" fontId="105" fillId="43" borderId="26" xfId="0" applyFont="1" applyFill="1" applyBorder="1" applyAlignment="1" applyProtection="1">
      <alignment/>
      <protection hidden="1" locked="0"/>
    </xf>
    <xf numFmtId="0" fontId="37" fillId="39" borderId="43" xfId="0" applyFont="1" applyFill="1" applyBorder="1" applyAlignment="1" applyProtection="1">
      <alignment horizontal="center" wrapText="1"/>
      <protection hidden="1" locked="0"/>
    </xf>
    <xf numFmtId="181" fontId="111" fillId="39" borderId="37" xfId="45" applyNumberFormat="1" applyFont="1" applyFill="1" applyBorder="1" applyAlignment="1" applyProtection="1">
      <alignment horizontal="center" wrapText="1"/>
      <protection hidden="1" locked="0"/>
    </xf>
    <xf numFmtId="0" fontId="105" fillId="0" borderId="44" xfId="0" applyFont="1" applyBorder="1" applyAlignment="1" applyProtection="1">
      <alignment/>
      <protection hidden="1" locked="0"/>
    </xf>
    <xf numFmtId="49" fontId="105" fillId="35" borderId="24" xfId="0" applyNumberFormat="1" applyFont="1" applyFill="1" applyBorder="1" applyAlignment="1" applyProtection="1">
      <alignment/>
      <protection hidden="1" locked="0"/>
    </xf>
    <xf numFmtId="0" fontId="10" fillId="41" borderId="0" xfId="0" applyNumberFormat="1" applyFont="1" applyFill="1" applyBorder="1" applyAlignment="1" applyProtection="1">
      <alignment horizontal="center" vertical="center"/>
      <protection/>
    </xf>
    <xf numFmtId="0" fontId="33" fillId="33" borderId="15" xfId="0" applyFont="1" applyFill="1" applyBorder="1" applyAlignment="1" applyProtection="1">
      <alignment horizontal="left" vertical="center" wrapText="1"/>
      <protection/>
    </xf>
    <xf numFmtId="0" fontId="33" fillId="33" borderId="16" xfId="0" applyFont="1" applyFill="1" applyBorder="1" applyAlignment="1" applyProtection="1">
      <alignment horizontal="left" vertical="center" wrapText="1"/>
      <protection/>
    </xf>
    <xf numFmtId="0" fontId="108" fillId="33" borderId="42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18" fillId="33" borderId="10" xfId="0" applyFont="1" applyFill="1" applyBorder="1" applyAlignment="1" applyProtection="1">
      <alignment/>
      <protection/>
    </xf>
    <xf numFmtId="0" fontId="10" fillId="33" borderId="42" xfId="0" applyFont="1" applyFill="1" applyBorder="1" applyAlignment="1" applyProtection="1">
      <alignment/>
      <protection/>
    </xf>
    <xf numFmtId="177" fontId="14" fillId="33" borderId="13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177" fontId="14" fillId="33" borderId="15" xfId="0" applyNumberFormat="1" applyFont="1" applyFill="1" applyBorder="1" applyAlignment="1" applyProtection="1">
      <alignment/>
      <protection/>
    </xf>
    <xf numFmtId="0" fontId="55" fillId="33" borderId="12" xfId="0" applyFont="1" applyFill="1" applyBorder="1" applyAlignment="1" applyProtection="1">
      <alignment/>
      <protection/>
    </xf>
    <xf numFmtId="177" fontId="14" fillId="33" borderId="16" xfId="0" applyNumberFormat="1" applyFont="1" applyFill="1" applyBorder="1" applyAlignment="1" applyProtection="1">
      <alignment/>
      <protection/>
    </xf>
    <xf numFmtId="0" fontId="34" fillId="33" borderId="45" xfId="0" applyFont="1" applyFill="1" applyBorder="1" applyAlignment="1" applyProtection="1">
      <alignment/>
      <protection/>
    </xf>
    <xf numFmtId="0" fontId="108" fillId="33" borderId="0" xfId="0" applyFont="1" applyFill="1" applyBorder="1" applyAlignment="1" applyProtection="1">
      <alignment/>
      <protection/>
    </xf>
    <xf numFmtId="2" fontId="14" fillId="33" borderId="0" xfId="0" applyNumberFormat="1" applyFont="1" applyFill="1" applyBorder="1" applyAlignment="1" applyProtection="1">
      <alignment/>
      <protection/>
    </xf>
    <xf numFmtId="0" fontId="48" fillId="0" borderId="42" xfId="0" applyFont="1" applyBorder="1" applyAlignment="1" applyProtection="1">
      <alignment/>
      <protection hidden="1" locked="0"/>
    </xf>
    <xf numFmtId="0" fontId="48" fillId="0" borderId="13" xfId="0" applyFont="1" applyBorder="1" applyAlignment="1">
      <alignment horizontal="justify" vertical="center" wrapText="1"/>
    </xf>
    <xf numFmtId="0" fontId="48" fillId="0" borderId="11" xfId="0" applyFont="1" applyBorder="1" applyAlignment="1" applyProtection="1">
      <alignment/>
      <protection hidden="1" locked="0"/>
    </xf>
    <xf numFmtId="0" fontId="48" fillId="0" borderId="15" xfId="0" applyFont="1" applyBorder="1" applyAlignment="1">
      <alignment horizontal="justify" vertical="center" wrapText="1"/>
    </xf>
    <xf numFmtId="0" fontId="48" fillId="0" borderId="12" xfId="0" applyFont="1" applyBorder="1" applyAlignment="1" applyProtection="1">
      <alignment/>
      <protection hidden="1" locked="0"/>
    </xf>
    <xf numFmtId="0" fontId="48" fillId="0" borderId="16" xfId="0" applyFont="1" applyBorder="1" applyAlignment="1">
      <alignment horizontal="justify" vertical="center" wrapText="1"/>
    </xf>
    <xf numFmtId="0" fontId="10" fillId="33" borderId="12" xfId="0" applyFont="1" applyFill="1" applyBorder="1" applyAlignment="1" applyProtection="1">
      <alignment/>
      <protection/>
    </xf>
    <xf numFmtId="1" fontId="14" fillId="33" borderId="16" xfId="0" applyNumberFormat="1" applyFont="1" applyFill="1" applyBorder="1" applyAlignment="1" applyProtection="1">
      <alignment/>
      <protection/>
    </xf>
    <xf numFmtId="0" fontId="10" fillId="33" borderId="31" xfId="0" applyFont="1" applyFill="1" applyBorder="1" applyAlignment="1" applyProtection="1">
      <alignment/>
      <protection/>
    </xf>
    <xf numFmtId="1" fontId="14" fillId="33" borderId="17" xfId="0" applyNumberFormat="1" applyFont="1" applyFill="1" applyBorder="1" applyAlignment="1" applyProtection="1">
      <alignment/>
      <protection/>
    </xf>
    <xf numFmtId="0" fontId="33" fillId="38" borderId="13" xfId="0" applyFont="1" applyFill="1" applyBorder="1" applyAlignment="1" applyProtection="1">
      <alignment horizontal="left" vertical="center" wrapText="1"/>
      <protection locked="0"/>
    </xf>
    <xf numFmtId="0" fontId="33" fillId="38" borderId="15" xfId="0" applyFont="1" applyFill="1" applyBorder="1" applyAlignment="1" applyProtection="1">
      <alignment/>
      <protection locked="0"/>
    </xf>
    <xf numFmtId="0" fontId="33" fillId="38" borderId="46" xfId="0" applyFont="1" applyFill="1" applyBorder="1" applyAlignment="1" applyProtection="1">
      <alignment/>
      <protection locked="0"/>
    </xf>
    <xf numFmtId="0" fontId="0" fillId="18" borderId="0" xfId="0" applyFont="1" applyFill="1" applyAlignment="1" applyProtection="1">
      <alignment/>
      <protection/>
    </xf>
    <xf numFmtId="0" fontId="115" fillId="18" borderId="0" xfId="0" applyFont="1" applyFill="1" applyAlignment="1" applyProtection="1">
      <alignment horizontal="left" vertical="center" readingOrder="1"/>
      <protection/>
    </xf>
    <xf numFmtId="0" fontId="119" fillId="18" borderId="0" xfId="0" applyFont="1" applyFill="1" applyAlignment="1" applyProtection="1">
      <alignment/>
      <protection/>
    </xf>
    <xf numFmtId="0" fontId="37" fillId="47" borderId="43" xfId="0" applyFont="1" applyFill="1" applyBorder="1" applyAlignment="1" applyProtection="1">
      <alignment horizontal="center" wrapText="1"/>
      <protection/>
    </xf>
    <xf numFmtId="1" fontId="111" fillId="43" borderId="37" xfId="0" applyNumberFormat="1" applyFont="1" applyFill="1" applyBorder="1" applyAlignment="1" applyProtection="1">
      <alignment horizontal="center" wrapText="1"/>
      <protection/>
    </xf>
    <xf numFmtId="1" fontId="0" fillId="18" borderId="0" xfId="0" applyNumberFormat="1" applyFont="1" applyFill="1" applyAlignment="1" applyProtection="1">
      <alignment/>
      <protection/>
    </xf>
    <xf numFmtId="0" fontId="105" fillId="18" borderId="0" xfId="0" applyFont="1" applyFill="1" applyAlignment="1" applyProtection="1">
      <alignment/>
      <protection/>
    </xf>
    <xf numFmtId="0" fontId="105" fillId="43" borderId="29" xfId="0" applyFont="1" applyFill="1" applyBorder="1" applyAlignment="1" applyProtection="1">
      <alignment/>
      <protection/>
    </xf>
    <xf numFmtId="0" fontId="105" fillId="43" borderId="47" xfId="0" applyFont="1" applyFill="1" applyBorder="1" applyAlignment="1" applyProtection="1">
      <alignment/>
      <protection/>
    </xf>
    <xf numFmtId="0" fontId="105" fillId="43" borderId="3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/>
      <protection/>
    </xf>
    <xf numFmtId="0" fontId="111" fillId="47" borderId="37" xfId="0" applyFont="1" applyFill="1" applyBorder="1" applyAlignment="1" applyProtection="1">
      <alignment horizontal="center" wrapText="1"/>
      <protection/>
    </xf>
    <xf numFmtId="0" fontId="111" fillId="43" borderId="37" xfId="0" applyFont="1" applyFill="1" applyBorder="1" applyAlignment="1" applyProtection="1">
      <alignment horizontal="center" wrapText="1"/>
      <protection/>
    </xf>
    <xf numFmtId="0" fontId="114" fillId="41" borderId="48" xfId="0" applyFont="1" applyFill="1" applyBorder="1" applyAlignment="1" applyProtection="1">
      <alignment horizontal="center"/>
      <protection/>
    </xf>
    <xf numFmtId="0" fontId="114" fillId="41" borderId="16" xfId="0" applyFont="1" applyFill="1" applyBorder="1" applyAlignment="1" applyProtection="1">
      <alignment horizontal="center"/>
      <protection/>
    </xf>
    <xf numFmtId="0" fontId="114" fillId="41" borderId="23" xfId="0" applyFont="1" applyFill="1" applyBorder="1" applyAlignment="1" applyProtection="1">
      <alignment horizontal="center" wrapText="1"/>
      <protection/>
    </xf>
    <xf numFmtId="0" fontId="114" fillId="41" borderId="11" xfId="0" applyFont="1" applyFill="1" applyBorder="1" applyAlignment="1" applyProtection="1">
      <alignment horizontal="center" wrapText="1"/>
      <protection/>
    </xf>
    <xf numFmtId="0" fontId="52" fillId="41" borderId="10" xfId="0" applyFont="1" applyFill="1" applyBorder="1" applyAlignment="1" applyProtection="1">
      <alignment horizontal="center" wrapText="1"/>
      <protection/>
    </xf>
    <xf numFmtId="0" fontId="52" fillId="41" borderId="15" xfId="0" applyFont="1" applyFill="1" applyBorder="1" applyAlignment="1" applyProtection="1">
      <alignment horizontal="center" wrapText="1"/>
      <protection/>
    </xf>
    <xf numFmtId="0" fontId="114" fillId="41" borderId="12" xfId="0" applyFont="1" applyFill="1" applyBorder="1" applyAlignment="1" applyProtection="1">
      <alignment horizontal="center" wrapText="1"/>
      <protection/>
    </xf>
    <xf numFmtId="0" fontId="52" fillId="41" borderId="48" xfId="0" applyFont="1" applyFill="1" applyBorder="1" applyAlignment="1" applyProtection="1">
      <alignment horizontal="center" wrapText="1"/>
      <protection/>
    </xf>
    <xf numFmtId="0" fontId="52" fillId="41" borderId="16" xfId="0" applyFont="1" applyFill="1" applyBorder="1" applyAlignment="1" applyProtection="1">
      <alignment horizontal="center" wrapText="1"/>
      <protection/>
    </xf>
    <xf numFmtId="0" fontId="110" fillId="18" borderId="0" xfId="0" applyFont="1" applyFill="1" applyAlignment="1" applyProtection="1">
      <alignment/>
      <protection/>
    </xf>
    <xf numFmtId="0" fontId="10" fillId="18" borderId="0" xfId="0" applyFont="1" applyFill="1" applyAlignment="1" applyProtection="1">
      <alignment/>
      <protection/>
    </xf>
    <xf numFmtId="0" fontId="105" fillId="43" borderId="13" xfId="0" applyFont="1" applyFill="1" applyBorder="1" applyAlignment="1" applyProtection="1">
      <alignment/>
      <protection/>
    </xf>
    <xf numFmtId="0" fontId="105" fillId="43" borderId="15" xfId="0" applyFont="1" applyFill="1" applyBorder="1" applyAlignment="1" applyProtection="1">
      <alignment/>
      <protection/>
    </xf>
    <xf numFmtId="0" fontId="105" fillId="43" borderId="16" xfId="0" applyFont="1" applyFill="1" applyBorder="1" applyAlignment="1" applyProtection="1">
      <alignment/>
      <protection/>
    </xf>
    <xf numFmtId="0" fontId="6" fillId="41" borderId="10" xfId="0" applyFont="1" applyFill="1" applyBorder="1" applyAlignment="1" applyProtection="1">
      <alignment horizontal="center" wrapText="1"/>
      <protection/>
    </xf>
    <xf numFmtId="0" fontId="6" fillId="41" borderId="15" xfId="0" applyFont="1" applyFill="1" applyBorder="1" applyAlignment="1" applyProtection="1">
      <alignment horizontal="center" wrapText="1"/>
      <protection/>
    </xf>
    <xf numFmtId="0" fontId="0" fillId="41" borderId="11" xfId="0" applyFont="1" applyFill="1" applyBorder="1" applyAlignment="1" applyProtection="1">
      <alignment horizontal="center" wrapText="1"/>
      <protection/>
    </xf>
    <xf numFmtId="0" fontId="0" fillId="41" borderId="12" xfId="0" applyFont="1" applyFill="1" applyBorder="1" applyAlignment="1" applyProtection="1">
      <alignment horizontal="center" wrapText="1"/>
      <protection/>
    </xf>
    <xf numFmtId="0" fontId="112" fillId="18" borderId="0" xfId="0" applyFont="1" applyFill="1" applyAlignment="1" applyProtection="1">
      <alignment/>
      <protection/>
    </xf>
    <xf numFmtId="0" fontId="105" fillId="41" borderId="24" xfId="0" applyFont="1" applyFill="1" applyBorder="1" applyAlignment="1" applyProtection="1">
      <alignment horizontal="center"/>
      <protection/>
    </xf>
    <xf numFmtId="0" fontId="0" fillId="41" borderId="24" xfId="0" applyFont="1" applyFill="1" applyBorder="1" applyAlignment="1" applyProtection="1">
      <alignment/>
      <protection/>
    </xf>
    <xf numFmtId="0" fontId="0" fillId="41" borderId="34" xfId="0" applyFont="1" applyFill="1" applyBorder="1" applyAlignment="1" applyProtection="1">
      <alignment horizontal="center"/>
      <protection/>
    </xf>
    <xf numFmtId="0" fontId="105" fillId="18" borderId="0" xfId="0" applyFont="1" applyFill="1" applyBorder="1" applyAlignment="1" applyProtection="1">
      <alignment horizontal="center"/>
      <protection/>
    </xf>
    <xf numFmtId="181" fontId="105" fillId="18" borderId="0" xfId="45" applyNumberFormat="1" applyFont="1" applyFill="1" applyBorder="1" applyAlignment="1" applyProtection="1">
      <alignment horizontal="center"/>
      <protection/>
    </xf>
    <xf numFmtId="0" fontId="105" fillId="41" borderId="25" xfId="0" applyFont="1" applyFill="1" applyBorder="1" applyAlignment="1" applyProtection="1">
      <alignment horizontal="center" wrapText="1"/>
      <protection/>
    </xf>
    <xf numFmtId="0" fontId="105" fillId="41" borderId="21" xfId="0" applyFont="1" applyFill="1" applyBorder="1" applyAlignment="1" applyProtection="1">
      <alignment horizontal="center" wrapText="1"/>
      <protection/>
    </xf>
    <xf numFmtId="0" fontId="0" fillId="41" borderId="21" xfId="0" applyFont="1" applyFill="1" applyBorder="1" applyAlignment="1" applyProtection="1">
      <alignment vertical="top" wrapText="1"/>
      <protection/>
    </xf>
    <xf numFmtId="0" fontId="0" fillId="41" borderId="21" xfId="0" applyFont="1" applyFill="1" applyBorder="1" applyAlignment="1" applyProtection="1">
      <alignment horizontal="center" wrapText="1"/>
      <protection/>
    </xf>
    <xf numFmtId="0" fontId="105" fillId="43" borderId="26" xfId="0" applyFont="1" applyFill="1" applyBorder="1" applyAlignment="1" applyProtection="1">
      <alignment/>
      <protection/>
    </xf>
    <xf numFmtId="0" fontId="7" fillId="18" borderId="10" xfId="0" applyFont="1" applyFill="1" applyBorder="1" applyAlignment="1" applyProtection="1">
      <alignment/>
      <protection/>
    </xf>
    <xf numFmtId="0" fontId="8" fillId="18" borderId="10" xfId="0" applyFont="1" applyFill="1" applyBorder="1" applyAlignment="1" applyProtection="1">
      <alignment/>
      <protection/>
    </xf>
    <xf numFmtId="0" fontId="105" fillId="41" borderId="39" xfId="0" applyFont="1" applyFill="1" applyBorder="1" applyAlignment="1" applyProtection="1">
      <alignment horizontal="center" vertical="center" wrapText="1"/>
      <protection/>
    </xf>
    <xf numFmtId="0" fontId="105" fillId="41" borderId="40" xfId="0" applyFont="1" applyFill="1" applyBorder="1" applyAlignment="1" applyProtection="1">
      <alignment horizontal="center" vertical="center" wrapText="1"/>
      <protection/>
    </xf>
    <xf numFmtId="0" fontId="0" fillId="41" borderId="40" xfId="0" applyFont="1" applyFill="1" applyBorder="1" applyAlignment="1" applyProtection="1">
      <alignment vertical="center" wrapText="1"/>
      <protection/>
    </xf>
    <xf numFmtId="0" fontId="0" fillId="41" borderId="40" xfId="0" applyFont="1" applyFill="1" applyBorder="1" applyAlignment="1" applyProtection="1">
      <alignment horizontal="center" vertical="center" wrapText="1"/>
      <protection/>
    </xf>
    <xf numFmtId="0" fontId="0" fillId="41" borderId="41" xfId="0" applyFont="1" applyFill="1" applyBorder="1" applyAlignment="1" applyProtection="1">
      <alignment horizontal="center" vertical="center" wrapText="1"/>
      <protection/>
    </xf>
    <xf numFmtId="0" fontId="111" fillId="47" borderId="26" xfId="0" applyFont="1" applyFill="1" applyBorder="1" applyAlignment="1" applyProtection="1">
      <alignment horizontal="center" wrapText="1"/>
      <protection/>
    </xf>
    <xf numFmtId="0" fontId="111" fillId="43" borderId="26" xfId="0" applyFont="1" applyFill="1" applyBorder="1" applyAlignment="1" applyProtection="1">
      <alignment horizontal="center" wrapText="1"/>
      <protection/>
    </xf>
    <xf numFmtId="0" fontId="40" fillId="18" borderId="0" xfId="0" applyFont="1" applyFill="1" applyAlignment="1" applyProtection="1">
      <alignment/>
      <protection/>
    </xf>
    <xf numFmtId="0" fontId="11" fillId="40" borderId="13" xfId="0" applyFont="1" applyFill="1" applyBorder="1" applyAlignment="1" applyProtection="1">
      <alignment horizontal="left"/>
      <protection/>
    </xf>
    <xf numFmtId="0" fontId="0" fillId="41" borderId="15" xfId="0" applyFont="1" applyFill="1" applyBorder="1" applyAlignment="1" applyProtection="1">
      <alignment horizontal="left"/>
      <protection/>
    </xf>
    <xf numFmtId="0" fontId="105" fillId="41" borderId="49" xfId="0" applyFont="1" applyFill="1" applyBorder="1" applyAlignment="1" applyProtection="1">
      <alignment/>
      <protection/>
    </xf>
    <xf numFmtId="1" fontId="105" fillId="43" borderId="29" xfId="0" applyNumberFormat="1" applyFont="1" applyFill="1" applyBorder="1" applyAlignment="1" applyProtection="1">
      <alignment/>
      <protection/>
    </xf>
    <xf numFmtId="0" fontId="0" fillId="41" borderId="16" xfId="0" applyFont="1" applyFill="1" applyBorder="1" applyAlignment="1" applyProtection="1">
      <alignment horizontal="left"/>
      <protection/>
    </xf>
    <xf numFmtId="43" fontId="111" fillId="43" borderId="37" xfId="45" applyFont="1" applyFill="1" applyBorder="1" applyAlignment="1" applyProtection="1">
      <alignment horizontal="center" wrapText="1"/>
      <protection/>
    </xf>
    <xf numFmtId="0" fontId="12" fillId="18" borderId="0" xfId="0" applyFont="1" applyFill="1" applyBorder="1" applyAlignment="1" applyProtection="1">
      <alignment wrapText="1"/>
      <protection/>
    </xf>
    <xf numFmtId="0" fontId="16" fillId="18" borderId="0" xfId="0" applyFont="1" applyFill="1" applyBorder="1" applyAlignment="1" applyProtection="1">
      <alignment/>
      <protection/>
    </xf>
    <xf numFmtId="0" fontId="105" fillId="41" borderId="30" xfId="0" applyFont="1" applyFill="1" applyBorder="1" applyAlignment="1" applyProtection="1">
      <alignment/>
      <protection/>
    </xf>
    <xf numFmtId="0" fontId="105" fillId="41" borderId="26" xfId="0" applyFont="1" applyFill="1" applyBorder="1" applyAlignment="1" applyProtection="1">
      <alignment/>
      <protection/>
    </xf>
    <xf numFmtId="0" fontId="37" fillId="47" borderId="10" xfId="0" applyFont="1" applyFill="1" applyBorder="1" applyAlignment="1" applyProtection="1">
      <alignment horizontal="center" wrapText="1"/>
      <protection/>
    </xf>
    <xf numFmtId="43" fontId="10" fillId="43" borderId="10" xfId="45" applyNumberFormat="1" applyFont="1" applyFill="1" applyBorder="1" applyAlignment="1" applyProtection="1">
      <alignment/>
      <protection/>
    </xf>
    <xf numFmtId="0" fontId="10" fillId="18" borderId="0" xfId="0" applyFont="1" applyFill="1" applyAlignment="1" applyProtection="1">
      <alignment horizontal="center"/>
      <protection/>
    </xf>
    <xf numFmtId="0" fontId="105" fillId="41" borderId="31" xfId="0" applyFont="1" applyFill="1" applyBorder="1" applyAlignment="1" applyProtection="1">
      <alignment/>
      <protection/>
    </xf>
    <xf numFmtId="0" fontId="105" fillId="41" borderId="32" xfId="0" applyFont="1" applyFill="1" applyBorder="1" applyAlignment="1" applyProtection="1">
      <alignment/>
      <protection/>
    </xf>
    <xf numFmtId="0" fontId="105" fillId="41" borderId="17" xfId="0" applyFont="1" applyFill="1" applyBorder="1" applyAlignment="1" applyProtection="1">
      <alignment/>
      <protection/>
    </xf>
    <xf numFmtId="0" fontId="48" fillId="41" borderId="30" xfId="0" applyFont="1" applyFill="1" applyBorder="1" applyAlignment="1" applyProtection="1">
      <alignment horizontal="center" vertical="center" wrapText="1"/>
      <protection/>
    </xf>
    <xf numFmtId="43" fontId="0" fillId="41" borderId="23" xfId="45" applyFont="1" applyFill="1" applyBorder="1" applyAlignment="1" applyProtection="1">
      <alignment/>
      <protection/>
    </xf>
    <xf numFmtId="43" fontId="0" fillId="41" borderId="43" xfId="45" applyFont="1" applyFill="1" applyBorder="1" applyAlignment="1" applyProtection="1">
      <alignment/>
      <protection/>
    </xf>
    <xf numFmtId="43" fontId="0" fillId="41" borderId="50" xfId="45" applyFont="1" applyFill="1" applyBorder="1" applyAlignment="1" applyProtection="1">
      <alignment/>
      <protection/>
    </xf>
    <xf numFmtId="43" fontId="10" fillId="43" borderId="10" xfId="45" applyFont="1" applyFill="1" applyBorder="1" applyAlignment="1" applyProtection="1">
      <alignment/>
      <protection/>
    </xf>
    <xf numFmtId="43" fontId="0" fillId="41" borderId="12" xfId="45" applyFont="1" applyFill="1" applyBorder="1" applyAlignment="1" applyProtection="1">
      <alignment/>
      <protection/>
    </xf>
    <xf numFmtId="43" fontId="0" fillId="41" borderId="48" xfId="45" applyFont="1" applyFill="1" applyBorder="1" applyAlignment="1" applyProtection="1">
      <alignment/>
      <protection/>
    </xf>
    <xf numFmtId="43" fontId="0" fillId="41" borderId="16" xfId="45" applyFont="1" applyFill="1" applyBorder="1" applyAlignment="1" applyProtection="1">
      <alignment/>
      <protection/>
    </xf>
    <xf numFmtId="0" fontId="105" fillId="47" borderId="26" xfId="0" applyFont="1" applyFill="1" applyBorder="1" applyAlignment="1" applyProtection="1">
      <alignment/>
      <protection/>
    </xf>
    <xf numFmtId="43" fontId="0" fillId="43" borderId="26" xfId="0" applyNumberFormat="1" applyFont="1" applyFill="1" applyBorder="1" applyAlignment="1" applyProtection="1">
      <alignment/>
      <protection/>
    </xf>
    <xf numFmtId="0" fontId="105" fillId="18" borderId="0" xfId="0" applyFont="1" applyFill="1" applyAlignment="1" applyProtection="1">
      <alignment horizontal="right"/>
      <protection/>
    </xf>
    <xf numFmtId="0" fontId="116" fillId="41" borderId="26" xfId="0" applyFont="1" applyFill="1" applyBorder="1" applyAlignment="1" applyProtection="1">
      <alignment horizontal="justify" vertical="center" wrapText="1"/>
      <protection/>
    </xf>
    <xf numFmtId="0" fontId="116" fillId="41" borderId="36" xfId="0" applyFont="1" applyFill="1" applyBorder="1" applyAlignment="1" applyProtection="1">
      <alignment horizontal="center" vertical="center" wrapText="1"/>
      <protection/>
    </xf>
    <xf numFmtId="0" fontId="116" fillId="41" borderId="37" xfId="0" applyFont="1" applyFill="1" applyBorder="1" applyAlignment="1" applyProtection="1">
      <alignment horizontal="justify" vertical="center" wrapText="1"/>
      <protection/>
    </xf>
    <xf numFmtId="9" fontId="117" fillId="41" borderId="38" xfId="0" applyNumberFormat="1" applyFont="1" applyFill="1" applyBorder="1" applyAlignment="1" applyProtection="1">
      <alignment horizontal="center" vertical="center" wrapText="1"/>
      <protection/>
    </xf>
    <xf numFmtId="0" fontId="117" fillId="41" borderId="38" xfId="0" applyFont="1" applyFill="1" applyBorder="1" applyAlignment="1" applyProtection="1">
      <alignment horizontal="center" vertical="center" wrapText="1"/>
      <protection/>
    </xf>
    <xf numFmtId="43" fontId="43" fillId="47" borderId="26" xfId="0" applyNumberFormat="1" applyFont="1" applyFill="1" applyBorder="1" applyAlignment="1" applyProtection="1">
      <alignment horizontal="center" wrapText="1"/>
      <protection/>
    </xf>
    <xf numFmtId="0" fontId="116" fillId="18" borderId="0" xfId="0" applyFont="1" applyFill="1" applyBorder="1" applyAlignment="1" applyProtection="1">
      <alignment horizontal="justify" vertical="center" wrapText="1"/>
      <protection/>
    </xf>
    <xf numFmtId="9" fontId="117" fillId="18" borderId="0" xfId="0" applyNumberFormat="1" applyFont="1" applyFill="1" applyBorder="1" applyAlignment="1" applyProtection="1">
      <alignment horizontal="center" vertical="center" wrapText="1"/>
      <protection/>
    </xf>
    <xf numFmtId="0" fontId="117" fillId="18" borderId="0" xfId="0" applyFont="1" applyFill="1" applyBorder="1" applyAlignment="1" applyProtection="1">
      <alignment horizontal="center" vertical="center" wrapText="1"/>
      <protection/>
    </xf>
    <xf numFmtId="0" fontId="10" fillId="18" borderId="0" xfId="0" applyFont="1" applyFill="1" applyAlignment="1" applyProtection="1">
      <alignment/>
      <protection/>
    </xf>
    <xf numFmtId="0" fontId="0" fillId="41" borderId="42" xfId="0" applyFont="1" applyFill="1" applyBorder="1" applyAlignment="1" applyProtection="1">
      <alignment/>
      <protection/>
    </xf>
    <xf numFmtId="0" fontId="105" fillId="41" borderId="11" xfId="0" applyFont="1" applyFill="1" applyBorder="1" applyAlignment="1" applyProtection="1">
      <alignment/>
      <protection/>
    </xf>
    <xf numFmtId="0" fontId="105" fillId="41" borderId="12" xfId="0" applyFont="1" applyFill="1" applyBorder="1" applyAlignment="1" applyProtection="1">
      <alignment/>
      <protection/>
    </xf>
    <xf numFmtId="43" fontId="58" fillId="47" borderId="26" xfId="0" applyNumberFormat="1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/>
      <protection/>
    </xf>
    <xf numFmtId="176" fontId="0" fillId="18" borderId="0" xfId="0" applyNumberFormat="1" applyFont="1" applyFill="1" applyBorder="1" applyAlignment="1" applyProtection="1">
      <alignment/>
      <protection/>
    </xf>
    <xf numFmtId="1" fontId="0" fillId="18" borderId="0" xfId="0" applyNumberFormat="1" applyFont="1" applyFill="1" applyBorder="1" applyAlignment="1" applyProtection="1">
      <alignment/>
      <protection/>
    </xf>
    <xf numFmtId="176" fontId="0" fillId="18" borderId="0" xfId="0" applyNumberFormat="1" applyFont="1" applyFill="1" applyAlignment="1" applyProtection="1">
      <alignment/>
      <protection/>
    </xf>
    <xf numFmtId="49" fontId="105" fillId="38" borderId="26" xfId="0" applyNumberFormat="1" applyFont="1" applyFill="1" applyBorder="1" applyAlignment="1" applyProtection="1">
      <alignment/>
      <protection locked="0"/>
    </xf>
    <xf numFmtId="0" fontId="105" fillId="38" borderId="51" xfId="0" applyFont="1" applyFill="1" applyBorder="1" applyAlignment="1" applyProtection="1">
      <alignment horizontal="center"/>
      <protection locked="0"/>
    </xf>
    <xf numFmtId="0" fontId="105" fillId="38" borderId="52" xfId="0" applyFont="1" applyFill="1" applyBorder="1" applyAlignment="1" applyProtection="1">
      <alignment horizontal="center"/>
      <protection locked="0"/>
    </xf>
    <xf numFmtId="0" fontId="105" fillId="38" borderId="53" xfId="0" applyFont="1" applyFill="1" applyBorder="1" applyAlignment="1" applyProtection="1">
      <alignment horizontal="center"/>
      <protection locked="0"/>
    </xf>
    <xf numFmtId="0" fontId="105" fillId="38" borderId="42" xfId="0" applyFont="1" applyFill="1" applyBorder="1" applyAlignment="1" applyProtection="1">
      <alignment horizontal="center"/>
      <protection locked="0"/>
    </xf>
    <xf numFmtId="0" fontId="105" fillId="38" borderId="11" xfId="0" applyFont="1" applyFill="1" applyBorder="1" applyAlignment="1" applyProtection="1">
      <alignment horizontal="center"/>
      <protection locked="0"/>
    </xf>
    <xf numFmtId="0" fontId="105" fillId="38" borderId="12" xfId="0" applyFont="1" applyFill="1" applyBorder="1" applyAlignment="1" applyProtection="1">
      <alignment horizontal="center"/>
      <protection locked="0"/>
    </xf>
    <xf numFmtId="0" fontId="105" fillId="38" borderId="47" xfId="0" applyFont="1" applyFill="1" applyBorder="1" applyAlignment="1" applyProtection="1">
      <alignment horizontal="center"/>
      <protection locked="0"/>
    </xf>
    <xf numFmtId="181" fontId="105" fillId="38" borderId="29" xfId="45" applyNumberFormat="1" applyFont="1" applyFill="1" applyBorder="1" applyAlignment="1" applyProtection="1">
      <alignment horizontal="center"/>
      <protection locked="0"/>
    </xf>
    <xf numFmtId="0" fontId="105" fillId="38" borderId="33" xfId="0" applyFont="1" applyFill="1" applyBorder="1" applyAlignment="1" applyProtection="1">
      <alignment horizontal="center"/>
      <protection locked="0"/>
    </xf>
    <xf numFmtId="181" fontId="105" fillId="38" borderId="33" xfId="45" applyNumberFormat="1" applyFont="1" applyFill="1" applyBorder="1" applyAlignment="1" applyProtection="1">
      <alignment horizontal="center"/>
      <protection locked="0"/>
    </xf>
    <xf numFmtId="0" fontId="0" fillId="38" borderId="26" xfId="0" applyFont="1" applyFill="1" applyBorder="1" applyAlignment="1" applyProtection="1">
      <alignment horizontal="center"/>
      <protection locked="0"/>
    </xf>
    <xf numFmtId="0" fontId="105" fillId="38" borderId="49" xfId="0" applyFont="1" applyFill="1" applyBorder="1" applyAlignment="1" applyProtection="1">
      <alignment/>
      <protection locked="0"/>
    </xf>
    <xf numFmtId="0" fontId="105" fillId="38" borderId="26" xfId="0" applyFont="1" applyFill="1" applyBorder="1" applyAlignment="1" applyProtection="1">
      <alignment/>
      <protection locked="0"/>
    </xf>
    <xf numFmtId="43" fontId="105" fillId="38" borderId="26" xfId="45" applyFont="1" applyFill="1" applyBorder="1" applyAlignment="1" applyProtection="1">
      <alignment/>
      <protection locked="0"/>
    </xf>
    <xf numFmtId="0" fontId="0" fillId="40" borderId="43" xfId="0" applyFont="1" applyFill="1" applyBorder="1" applyAlignment="1" applyProtection="1">
      <alignment/>
      <protection hidden="1"/>
    </xf>
    <xf numFmtId="0" fontId="8" fillId="48" borderId="30" xfId="0" applyFont="1" applyFill="1" applyBorder="1" applyAlignment="1" applyProtection="1">
      <alignment horizontal="center"/>
      <protection hidden="1"/>
    </xf>
    <xf numFmtId="0" fontId="8" fillId="48" borderId="54" xfId="0" applyFont="1" applyFill="1" applyBorder="1" applyAlignment="1" applyProtection="1">
      <alignment horizontal="center"/>
      <protection hidden="1"/>
    </xf>
    <xf numFmtId="0" fontId="8" fillId="48" borderId="36" xfId="0" applyFont="1" applyFill="1" applyBorder="1" applyAlignment="1" applyProtection="1">
      <alignment horizontal="center"/>
      <protection hidden="1"/>
    </xf>
    <xf numFmtId="0" fontId="11" fillId="33" borderId="42" xfId="0" applyFont="1" applyFill="1" applyBorder="1" applyAlignment="1" applyProtection="1">
      <alignment horizontal="center"/>
      <protection hidden="1"/>
    </xf>
    <xf numFmtId="0" fontId="11" fillId="33" borderId="55" xfId="0" applyFont="1" applyFill="1" applyBorder="1" applyAlignment="1" applyProtection="1">
      <alignment horizontal="center"/>
      <protection hidden="1"/>
    </xf>
    <xf numFmtId="0" fontId="11" fillId="33" borderId="13" xfId="0" applyFont="1" applyFill="1" applyBorder="1" applyAlignment="1" applyProtection="1">
      <alignment horizontal="center"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0" fillId="33" borderId="48" xfId="0" applyFont="1" applyFill="1" applyBorder="1" applyAlignment="1" applyProtection="1">
      <alignment horizontal="left"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0" fontId="0" fillId="33" borderId="10" xfId="0" applyFont="1" applyFill="1" applyBorder="1" applyAlignment="1" applyProtection="1">
      <alignment horizontal="left"/>
      <protection hidden="1"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21" fillId="49" borderId="24" xfId="0" applyFont="1" applyFill="1" applyBorder="1" applyAlignment="1" applyProtection="1">
      <alignment horizontal="center" wrapText="1"/>
      <protection hidden="1"/>
    </xf>
    <xf numFmtId="0" fontId="21" fillId="49" borderId="37" xfId="0" applyFont="1" applyFill="1" applyBorder="1" applyAlignment="1" applyProtection="1">
      <alignment horizontal="center" wrapText="1"/>
      <protection hidden="1"/>
    </xf>
    <xf numFmtId="0" fontId="21" fillId="49" borderId="44" xfId="0" applyFont="1" applyFill="1" applyBorder="1" applyAlignment="1" applyProtection="1">
      <alignment horizontal="left" vertical="center" wrapText="1"/>
      <protection hidden="1"/>
    </xf>
    <xf numFmtId="0" fontId="21" fillId="49" borderId="56" xfId="0" applyFont="1" applyFill="1" applyBorder="1" applyAlignment="1" applyProtection="1">
      <alignment horizontal="left" vertical="center" wrapText="1"/>
      <protection hidden="1"/>
    </xf>
    <xf numFmtId="0" fontId="21" fillId="49" borderId="57" xfId="0" applyFont="1" applyFill="1" applyBorder="1" applyAlignment="1" applyProtection="1">
      <alignment horizontal="left" vertical="center" wrapText="1"/>
      <protection hidden="1"/>
    </xf>
    <xf numFmtId="0" fontId="21" fillId="49" borderId="58" xfId="0" applyFont="1" applyFill="1" applyBorder="1" applyAlignment="1" applyProtection="1">
      <alignment horizontal="left" vertical="center" wrapText="1"/>
      <protection hidden="1"/>
    </xf>
    <xf numFmtId="0" fontId="21" fillId="49" borderId="0" xfId="0" applyFont="1" applyFill="1" applyBorder="1" applyAlignment="1" applyProtection="1">
      <alignment horizontal="left" vertical="center" wrapText="1"/>
      <protection hidden="1"/>
    </xf>
    <xf numFmtId="0" fontId="21" fillId="49" borderId="59" xfId="0" applyFont="1" applyFill="1" applyBorder="1" applyAlignment="1" applyProtection="1">
      <alignment horizontal="left" vertical="center" wrapText="1"/>
      <protection hidden="1"/>
    </xf>
    <xf numFmtId="0" fontId="21" fillId="49" borderId="18" xfId="0" applyFont="1" applyFill="1" applyBorder="1" applyAlignment="1" applyProtection="1">
      <alignment horizontal="left" vertical="center" wrapText="1"/>
      <protection hidden="1"/>
    </xf>
    <xf numFmtId="0" fontId="21" fillId="49" borderId="19" xfId="0" applyFont="1" applyFill="1" applyBorder="1" applyAlignment="1" applyProtection="1">
      <alignment horizontal="left" vertical="center" wrapText="1"/>
      <protection hidden="1"/>
    </xf>
    <xf numFmtId="0" fontId="21" fillId="49" borderId="38" xfId="0" applyFont="1" applyFill="1" applyBorder="1" applyAlignment="1" applyProtection="1">
      <alignment horizontal="left" vertical="center" wrapText="1"/>
      <protection hidden="1"/>
    </xf>
    <xf numFmtId="0" fontId="21" fillId="49" borderId="42" xfId="0" applyFont="1" applyFill="1" applyBorder="1" applyAlignment="1" applyProtection="1">
      <alignment horizontal="center" vertical="center" wrapText="1"/>
      <protection hidden="1"/>
    </xf>
    <xf numFmtId="0" fontId="21" fillId="49" borderId="55" xfId="0" applyFont="1" applyFill="1" applyBorder="1" applyAlignment="1" applyProtection="1">
      <alignment horizontal="center" vertical="center" wrapText="1"/>
      <protection hidden="1"/>
    </xf>
    <xf numFmtId="0" fontId="21" fillId="49" borderId="13" xfId="0" applyFont="1" applyFill="1" applyBorder="1" applyAlignment="1" applyProtection="1">
      <alignment horizontal="center" vertical="center" wrapText="1"/>
      <protection hidden="1"/>
    </xf>
    <xf numFmtId="0" fontId="21" fillId="49" borderId="11" xfId="0" applyFont="1" applyFill="1" applyBorder="1" applyAlignment="1" applyProtection="1">
      <alignment horizontal="center" vertical="center" wrapText="1"/>
      <protection hidden="1"/>
    </xf>
    <xf numFmtId="0" fontId="21" fillId="49" borderId="10" xfId="0" applyFont="1" applyFill="1" applyBorder="1" applyAlignment="1" applyProtection="1">
      <alignment horizontal="center" vertical="center" wrapText="1"/>
      <protection hidden="1"/>
    </xf>
    <xf numFmtId="0" fontId="21" fillId="49" borderId="15" xfId="0" applyFont="1" applyFill="1" applyBorder="1" applyAlignment="1" applyProtection="1">
      <alignment horizontal="center" vertical="center" wrapText="1"/>
      <protection hidden="1"/>
    </xf>
    <xf numFmtId="0" fontId="21" fillId="49" borderId="12" xfId="0" applyFont="1" applyFill="1" applyBorder="1" applyAlignment="1" applyProtection="1">
      <alignment horizontal="center" vertical="center" wrapText="1"/>
      <protection hidden="1"/>
    </xf>
    <xf numFmtId="0" fontId="21" fillId="49" borderId="48" xfId="0" applyFont="1" applyFill="1" applyBorder="1" applyAlignment="1" applyProtection="1">
      <alignment horizontal="center" vertical="center" wrapText="1"/>
      <protection hidden="1"/>
    </xf>
    <xf numFmtId="0" fontId="21" fillId="49" borderId="16" xfId="0" applyFont="1" applyFill="1" applyBorder="1" applyAlignment="1" applyProtection="1">
      <alignment horizontal="center" vertical="center" wrapText="1"/>
      <protection hidden="1"/>
    </xf>
    <xf numFmtId="0" fontId="8" fillId="38" borderId="15" xfId="0" applyFont="1" applyFill="1" applyBorder="1" applyAlignment="1" applyProtection="1">
      <alignment horizontal="center" vertical="center"/>
      <protection hidden="1" locked="0"/>
    </xf>
    <xf numFmtId="0" fontId="8" fillId="38" borderId="16" xfId="0" applyFont="1" applyFill="1" applyBorder="1" applyAlignment="1" applyProtection="1">
      <alignment horizontal="center" vertical="center"/>
      <protection hidden="1" locked="0"/>
    </xf>
    <xf numFmtId="0" fontId="11" fillId="33" borderId="42" xfId="0" applyFont="1" applyFill="1" applyBorder="1" applyAlignment="1" applyProtection="1">
      <alignment horizontal="center" vertical="center" wrapText="1"/>
      <protection hidden="1"/>
    </xf>
    <xf numFmtId="0" fontId="11" fillId="33" borderId="55" xfId="0" applyFont="1" applyFill="1" applyBorder="1" applyAlignment="1" applyProtection="1">
      <alignment horizontal="center" vertical="center" wrapText="1"/>
      <protection hidden="1"/>
    </xf>
    <xf numFmtId="0" fontId="0" fillId="33" borderId="31" xfId="0" applyFont="1" applyFill="1" applyBorder="1" applyAlignment="1" applyProtection="1">
      <alignment horizontal="left"/>
      <protection hidden="1"/>
    </xf>
    <xf numFmtId="0" fontId="0" fillId="33" borderId="32" xfId="0" applyFont="1" applyFill="1" applyBorder="1" applyAlignment="1" applyProtection="1">
      <alignment horizontal="left"/>
      <protection hidden="1"/>
    </xf>
    <xf numFmtId="0" fontId="0" fillId="33" borderId="12" xfId="0" applyFont="1" applyFill="1" applyBorder="1" applyAlignment="1" applyProtection="1">
      <alignment horizontal="center"/>
      <protection hidden="1"/>
    </xf>
    <xf numFmtId="0" fontId="0" fillId="33" borderId="48" xfId="0" applyFont="1" applyFill="1" applyBorder="1" applyAlignment="1" applyProtection="1">
      <alignment horizontal="center"/>
      <protection hidden="1"/>
    </xf>
    <xf numFmtId="0" fontId="0" fillId="34" borderId="0" xfId="0" applyFont="1" applyFill="1" applyAlignment="1" applyProtection="1">
      <alignment horizontal="center"/>
      <protection hidden="1"/>
    </xf>
    <xf numFmtId="1" fontId="8" fillId="38" borderId="50" xfId="0" applyNumberFormat="1" applyFont="1" applyFill="1" applyBorder="1" applyAlignment="1" applyProtection="1">
      <alignment horizontal="center" vertical="center"/>
      <protection hidden="1" locked="0"/>
    </xf>
    <xf numFmtId="1" fontId="8" fillId="38" borderId="15" xfId="0" applyNumberFormat="1" applyFont="1" applyFill="1" applyBorder="1" applyAlignment="1" applyProtection="1">
      <alignment horizontal="center" vertical="center"/>
      <protection hidden="1" locked="0"/>
    </xf>
    <xf numFmtId="1" fontId="8" fillId="38" borderId="16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10" xfId="0" applyFont="1" applyFill="1" applyBorder="1" applyAlignment="1" applyProtection="1">
      <alignment/>
      <protection hidden="1"/>
    </xf>
    <xf numFmtId="0" fontId="8" fillId="38" borderId="46" xfId="0" applyNumberFormat="1" applyFont="1" applyFill="1" applyBorder="1" applyAlignment="1" applyProtection="1">
      <alignment horizontal="center" vertical="center"/>
      <protection hidden="1" locked="0"/>
    </xf>
    <xf numFmtId="0" fontId="8" fillId="38" borderId="60" xfId="0" applyNumberFormat="1" applyFont="1" applyFill="1" applyBorder="1" applyAlignment="1" applyProtection="1">
      <alignment horizontal="center" vertical="center"/>
      <protection hidden="1" locked="0"/>
    </xf>
    <xf numFmtId="0" fontId="8" fillId="38" borderId="20" xfId="0" applyNumberFormat="1" applyFont="1" applyFill="1" applyBorder="1" applyAlignment="1" applyProtection="1">
      <alignment horizontal="center" vertical="center"/>
      <protection hidden="1" locked="0"/>
    </xf>
    <xf numFmtId="0" fontId="11" fillId="33" borderId="51" xfId="0" applyFont="1" applyFill="1" applyBorder="1" applyAlignment="1" applyProtection="1">
      <alignment horizontal="center"/>
      <protection hidden="1"/>
    </xf>
    <xf numFmtId="0" fontId="11" fillId="33" borderId="61" xfId="0" applyFont="1" applyFill="1" applyBorder="1" applyAlignment="1" applyProtection="1">
      <alignment horizontal="center"/>
      <protection hidden="1"/>
    </xf>
    <xf numFmtId="0" fontId="11" fillId="33" borderId="62" xfId="0" applyFont="1" applyFill="1" applyBorder="1" applyAlignment="1" applyProtection="1">
      <alignment horizontal="center"/>
      <protection hidden="1"/>
    </xf>
    <xf numFmtId="0" fontId="0" fillId="33" borderId="42" xfId="0" applyFont="1" applyFill="1" applyBorder="1" applyAlignment="1" applyProtection="1">
      <alignment horizontal="left"/>
      <protection hidden="1"/>
    </xf>
    <xf numFmtId="0" fontId="0" fillId="33" borderId="55" xfId="0" applyFont="1" applyFill="1" applyBorder="1" applyAlignment="1" applyProtection="1">
      <alignment horizontal="left"/>
      <protection hidden="1"/>
    </xf>
    <xf numFmtId="0" fontId="21" fillId="49" borderId="44" xfId="0" applyFont="1" applyFill="1" applyBorder="1" applyAlignment="1" applyProtection="1">
      <alignment horizontal="center" vertical="center" wrapText="1"/>
      <protection hidden="1"/>
    </xf>
    <xf numFmtId="0" fontId="21" fillId="49" borderId="56" xfId="0" applyFont="1" applyFill="1" applyBorder="1" applyAlignment="1" applyProtection="1">
      <alignment horizontal="center" vertical="center" wrapText="1"/>
      <protection hidden="1"/>
    </xf>
    <xf numFmtId="0" fontId="21" fillId="49" borderId="57" xfId="0" applyFont="1" applyFill="1" applyBorder="1" applyAlignment="1" applyProtection="1">
      <alignment horizontal="center" vertical="center" wrapText="1"/>
      <protection hidden="1"/>
    </xf>
    <xf numFmtId="0" fontId="21" fillId="49" borderId="58" xfId="0" applyFont="1" applyFill="1" applyBorder="1" applyAlignment="1" applyProtection="1">
      <alignment horizontal="center" vertical="center" wrapText="1"/>
      <protection hidden="1"/>
    </xf>
    <xf numFmtId="0" fontId="21" fillId="49" borderId="0" xfId="0" applyFont="1" applyFill="1" applyBorder="1" applyAlignment="1" applyProtection="1">
      <alignment horizontal="center" vertical="center" wrapText="1"/>
      <protection hidden="1"/>
    </xf>
    <xf numFmtId="0" fontId="21" fillId="49" borderId="59" xfId="0" applyFont="1" applyFill="1" applyBorder="1" applyAlignment="1" applyProtection="1">
      <alignment horizontal="center" vertical="center" wrapText="1"/>
      <protection hidden="1"/>
    </xf>
    <xf numFmtId="0" fontId="21" fillId="49" borderId="18" xfId="0" applyFont="1" applyFill="1" applyBorder="1" applyAlignment="1" applyProtection="1">
      <alignment horizontal="center" vertical="center" wrapText="1"/>
      <protection hidden="1"/>
    </xf>
    <xf numFmtId="0" fontId="21" fillId="49" borderId="19" xfId="0" applyFont="1" applyFill="1" applyBorder="1" applyAlignment="1" applyProtection="1">
      <alignment horizontal="center" vertical="center" wrapText="1"/>
      <protection hidden="1"/>
    </xf>
    <xf numFmtId="0" fontId="21" fillId="49" borderId="38" xfId="0" applyFont="1" applyFill="1" applyBorder="1" applyAlignment="1" applyProtection="1">
      <alignment horizontal="center" vertical="center" wrapText="1"/>
      <protection hidden="1"/>
    </xf>
    <xf numFmtId="0" fontId="18" fillId="49" borderId="44" xfId="0" applyFont="1" applyFill="1" applyBorder="1" applyAlignment="1" applyProtection="1">
      <alignment horizontal="left" vertical="center" wrapText="1"/>
      <protection hidden="1"/>
    </xf>
    <xf numFmtId="0" fontId="18" fillId="49" borderId="56" xfId="0" applyFont="1" applyFill="1" applyBorder="1" applyAlignment="1" applyProtection="1">
      <alignment horizontal="left" vertical="center" wrapText="1"/>
      <protection hidden="1"/>
    </xf>
    <xf numFmtId="0" fontId="18" fillId="49" borderId="57" xfId="0" applyFont="1" applyFill="1" applyBorder="1" applyAlignment="1" applyProtection="1">
      <alignment horizontal="left" vertical="center" wrapText="1"/>
      <protection hidden="1"/>
    </xf>
    <xf numFmtId="0" fontId="18" fillId="49" borderId="58" xfId="0" applyFont="1" applyFill="1" applyBorder="1" applyAlignment="1" applyProtection="1">
      <alignment horizontal="left" vertical="center" wrapText="1"/>
      <protection hidden="1"/>
    </xf>
    <xf numFmtId="0" fontId="18" fillId="49" borderId="0" xfId="0" applyFont="1" applyFill="1" applyBorder="1" applyAlignment="1" applyProtection="1">
      <alignment horizontal="left" vertical="center" wrapText="1"/>
      <protection hidden="1"/>
    </xf>
    <xf numFmtId="0" fontId="18" fillId="49" borderId="59" xfId="0" applyFont="1" applyFill="1" applyBorder="1" applyAlignment="1" applyProtection="1">
      <alignment horizontal="left" vertical="center" wrapText="1"/>
      <protection hidden="1"/>
    </xf>
    <xf numFmtId="0" fontId="18" fillId="49" borderId="18" xfId="0" applyFont="1" applyFill="1" applyBorder="1" applyAlignment="1" applyProtection="1">
      <alignment horizontal="left" vertical="center" wrapText="1"/>
      <protection hidden="1"/>
    </xf>
    <xf numFmtId="0" fontId="18" fillId="49" borderId="19" xfId="0" applyFont="1" applyFill="1" applyBorder="1" applyAlignment="1" applyProtection="1">
      <alignment horizontal="left" vertical="center" wrapText="1"/>
      <protection hidden="1"/>
    </xf>
    <xf numFmtId="0" fontId="18" fillId="49" borderId="38" xfId="0" applyFont="1" applyFill="1" applyBorder="1" applyAlignment="1" applyProtection="1">
      <alignment horizontal="left" vertical="center" wrapText="1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48" xfId="0" applyFont="1" applyFill="1" applyBorder="1" applyAlignment="1" applyProtection="1">
      <alignment horizontal="center" vertical="center" wrapText="1"/>
      <protection hidden="1"/>
    </xf>
    <xf numFmtId="0" fontId="30" fillId="37" borderId="42" xfId="0" applyFont="1" applyFill="1" applyBorder="1" applyAlignment="1" applyProtection="1">
      <alignment horizontal="center" vertical="center"/>
      <protection hidden="1"/>
    </xf>
    <xf numFmtId="0" fontId="30" fillId="37" borderId="55" xfId="0" applyFont="1" applyFill="1" applyBorder="1" applyAlignment="1" applyProtection="1">
      <alignment horizontal="center" vertical="center"/>
      <protection hidden="1"/>
    </xf>
    <xf numFmtId="0" fontId="30" fillId="37" borderId="12" xfId="0" applyFont="1" applyFill="1" applyBorder="1" applyAlignment="1" applyProtection="1">
      <alignment horizontal="center" vertical="center"/>
      <protection hidden="1"/>
    </xf>
    <xf numFmtId="0" fontId="30" fillId="37" borderId="48" xfId="0" applyFont="1" applyFill="1" applyBorder="1" applyAlignment="1" applyProtection="1">
      <alignment horizontal="center" vertical="center"/>
      <protection hidden="1"/>
    </xf>
    <xf numFmtId="178" fontId="30" fillId="33" borderId="63" xfId="0" applyNumberFormat="1" applyFont="1" applyFill="1" applyBorder="1" applyAlignment="1" applyProtection="1">
      <alignment horizontal="center" vertical="center"/>
      <protection hidden="1"/>
    </xf>
    <xf numFmtId="178" fontId="30" fillId="33" borderId="57" xfId="0" applyNumberFormat="1" applyFont="1" applyFill="1" applyBorder="1" applyAlignment="1" applyProtection="1">
      <alignment horizontal="center" vertical="center"/>
      <protection hidden="1"/>
    </xf>
    <xf numFmtId="178" fontId="30" fillId="33" borderId="64" xfId="0" applyNumberFormat="1" applyFont="1" applyFill="1" applyBorder="1" applyAlignment="1" applyProtection="1">
      <alignment horizontal="center" vertical="center"/>
      <protection hidden="1"/>
    </xf>
    <xf numFmtId="178" fontId="30" fillId="33" borderId="38" xfId="0" applyNumberFormat="1" applyFont="1" applyFill="1" applyBorder="1" applyAlignment="1" applyProtection="1">
      <alignment horizontal="center" vertical="center"/>
      <protection hidden="1"/>
    </xf>
    <xf numFmtId="0" fontId="20" fillId="49" borderId="44" xfId="0" applyFont="1" applyFill="1" applyBorder="1" applyAlignment="1" applyProtection="1">
      <alignment horizontal="center" vertical="center"/>
      <protection hidden="1"/>
    </xf>
    <xf numFmtId="0" fontId="20" fillId="49" borderId="56" xfId="0" applyFont="1" applyFill="1" applyBorder="1" applyAlignment="1" applyProtection="1">
      <alignment horizontal="center" vertical="center"/>
      <protection hidden="1"/>
    </xf>
    <xf numFmtId="0" fontId="20" fillId="49" borderId="57" xfId="0" applyFont="1" applyFill="1" applyBorder="1" applyAlignment="1" applyProtection="1">
      <alignment horizontal="center" vertical="center"/>
      <protection hidden="1"/>
    </xf>
    <xf numFmtId="0" fontId="20" fillId="49" borderId="18" xfId="0" applyFont="1" applyFill="1" applyBorder="1" applyAlignment="1" applyProtection="1">
      <alignment horizontal="center" vertical="center"/>
      <protection hidden="1"/>
    </xf>
    <xf numFmtId="0" fontId="20" fillId="49" borderId="19" xfId="0" applyFont="1" applyFill="1" applyBorder="1" applyAlignment="1" applyProtection="1">
      <alignment horizontal="center" vertical="center"/>
      <protection hidden="1"/>
    </xf>
    <xf numFmtId="0" fontId="20" fillId="49" borderId="38" xfId="0" applyFont="1" applyFill="1" applyBorder="1" applyAlignment="1" applyProtection="1">
      <alignment horizontal="center" vertical="center"/>
      <protection hidden="1"/>
    </xf>
    <xf numFmtId="0" fontId="8" fillId="49" borderId="44" xfId="0" applyFont="1" applyFill="1" applyBorder="1" applyAlignment="1" applyProtection="1">
      <alignment horizontal="center"/>
      <protection hidden="1"/>
    </xf>
    <xf numFmtId="0" fontId="8" fillId="49" borderId="56" xfId="0" applyFont="1" applyFill="1" applyBorder="1" applyAlignment="1" applyProtection="1">
      <alignment horizontal="center"/>
      <protection hidden="1"/>
    </xf>
    <xf numFmtId="0" fontId="8" fillId="49" borderId="57" xfId="0" applyFont="1" applyFill="1" applyBorder="1" applyAlignment="1" applyProtection="1">
      <alignment horizontal="center"/>
      <protection hidden="1"/>
    </xf>
    <xf numFmtId="0" fontId="8" fillId="49" borderId="31" xfId="0" applyFont="1" applyFill="1" applyBorder="1" applyAlignment="1" applyProtection="1">
      <alignment horizontal="center"/>
      <protection hidden="1"/>
    </xf>
    <xf numFmtId="0" fontId="8" fillId="49" borderId="32" xfId="0" applyFont="1" applyFill="1" applyBorder="1" applyAlignment="1" applyProtection="1">
      <alignment horizontal="center"/>
      <protection hidden="1"/>
    </xf>
    <xf numFmtId="0" fontId="8" fillId="49" borderId="17" xfId="0" applyFont="1" applyFill="1" applyBorder="1" applyAlignment="1" applyProtection="1">
      <alignment horizontal="center"/>
      <protection hidden="1"/>
    </xf>
    <xf numFmtId="0" fontId="8" fillId="49" borderId="42" xfId="0" applyFont="1" applyFill="1" applyBorder="1" applyAlignment="1" applyProtection="1">
      <alignment horizontal="center"/>
      <protection hidden="1"/>
    </xf>
    <xf numFmtId="0" fontId="8" fillId="49" borderId="55" xfId="0" applyFont="1" applyFill="1" applyBorder="1" applyAlignment="1" applyProtection="1">
      <alignment horizontal="center"/>
      <protection hidden="1"/>
    </xf>
    <xf numFmtId="0" fontId="8" fillId="49" borderId="13" xfId="0" applyFont="1" applyFill="1" applyBorder="1" applyAlignment="1" applyProtection="1">
      <alignment horizontal="center"/>
      <protection hidden="1"/>
    </xf>
    <xf numFmtId="0" fontId="0" fillId="33" borderId="52" xfId="0" applyFont="1" applyFill="1" applyBorder="1" applyAlignment="1" applyProtection="1">
      <alignment horizontal="center"/>
      <protection hidden="1"/>
    </xf>
    <xf numFmtId="0" fontId="0" fillId="33" borderId="49" xfId="0" applyFont="1" applyFill="1" applyBorder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 horizontal="center"/>
      <protection hidden="1"/>
    </xf>
    <xf numFmtId="0" fontId="0" fillId="33" borderId="53" xfId="0" applyFont="1" applyFill="1" applyBorder="1" applyAlignment="1" applyProtection="1">
      <alignment horizontal="center"/>
      <protection hidden="1"/>
    </xf>
    <xf numFmtId="0" fontId="0" fillId="33" borderId="65" xfId="0" applyFont="1" applyFill="1" applyBorder="1" applyAlignment="1" applyProtection="1">
      <alignment horizontal="center"/>
      <protection hidden="1"/>
    </xf>
    <xf numFmtId="0" fontId="0" fillId="33" borderId="66" xfId="0" applyFont="1" applyFill="1" applyBorder="1" applyAlignment="1" applyProtection="1">
      <alignment horizontal="center"/>
      <protection hidden="1"/>
    </xf>
    <xf numFmtId="0" fontId="19" fillId="49" borderId="44" xfId="0" applyFont="1" applyFill="1" applyBorder="1" applyAlignment="1" applyProtection="1">
      <alignment horizontal="left" wrapText="1"/>
      <protection hidden="1"/>
    </xf>
    <xf numFmtId="0" fontId="120" fillId="0" borderId="56" xfId="0" applyFont="1" applyBorder="1" applyAlignment="1">
      <alignment/>
    </xf>
    <xf numFmtId="0" fontId="120" fillId="0" borderId="57" xfId="0" applyFont="1" applyBorder="1" applyAlignment="1">
      <alignment/>
    </xf>
    <xf numFmtId="0" fontId="120" fillId="0" borderId="58" xfId="0" applyFont="1" applyBorder="1" applyAlignment="1">
      <alignment/>
    </xf>
    <xf numFmtId="0" fontId="120" fillId="0" borderId="0" xfId="0" applyFont="1" applyAlignment="1">
      <alignment/>
    </xf>
    <xf numFmtId="0" fontId="120" fillId="0" borderId="59" xfId="0" applyFont="1" applyBorder="1" applyAlignment="1">
      <alignment/>
    </xf>
    <xf numFmtId="0" fontId="120" fillId="0" borderId="18" xfId="0" applyFont="1" applyBorder="1" applyAlignment="1">
      <alignment/>
    </xf>
    <xf numFmtId="0" fontId="120" fillId="0" borderId="19" xfId="0" applyFont="1" applyBorder="1" applyAlignment="1">
      <alignment/>
    </xf>
    <xf numFmtId="0" fontId="120" fillId="0" borderId="38" xfId="0" applyFont="1" applyBorder="1" applyAlignment="1">
      <alignment/>
    </xf>
    <xf numFmtId="0" fontId="19" fillId="49" borderId="44" xfId="0" applyFont="1" applyFill="1" applyBorder="1" applyAlignment="1" applyProtection="1">
      <alignment horizontal="center" vertical="center" wrapText="1"/>
      <protection hidden="1"/>
    </xf>
    <xf numFmtId="0" fontId="19" fillId="49" borderId="56" xfId="0" applyFont="1" applyFill="1" applyBorder="1" applyAlignment="1" applyProtection="1">
      <alignment horizontal="center" vertical="center" wrapText="1"/>
      <protection hidden="1"/>
    </xf>
    <xf numFmtId="0" fontId="19" fillId="49" borderId="57" xfId="0" applyFont="1" applyFill="1" applyBorder="1" applyAlignment="1" applyProtection="1">
      <alignment horizontal="center" vertical="center" wrapText="1"/>
      <protection hidden="1"/>
    </xf>
    <xf numFmtId="0" fontId="19" fillId="49" borderId="58" xfId="0" applyFont="1" applyFill="1" applyBorder="1" applyAlignment="1" applyProtection="1">
      <alignment horizontal="center" vertical="center" wrapText="1"/>
      <protection hidden="1"/>
    </xf>
    <xf numFmtId="0" fontId="19" fillId="49" borderId="0" xfId="0" applyFont="1" applyFill="1" applyBorder="1" applyAlignment="1" applyProtection="1">
      <alignment horizontal="center" vertical="center" wrapText="1"/>
      <protection hidden="1"/>
    </xf>
    <xf numFmtId="0" fontId="19" fillId="49" borderId="59" xfId="0" applyFont="1" applyFill="1" applyBorder="1" applyAlignment="1" applyProtection="1">
      <alignment horizontal="center" vertical="center" wrapText="1"/>
      <protection hidden="1"/>
    </xf>
    <xf numFmtId="0" fontId="19" fillId="49" borderId="18" xfId="0" applyFont="1" applyFill="1" applyBorder="1" applyAlignment="1" applyProtection="1">
      <alignment horizontal="center" vertical="center" wrapText="1"/>
      <protection hidden="1"/>
    </xf>
    <xf numFmtId="0" fontId="19" fillId="49" borderId="19" xfId="0" applyFont="1" applyFill="1" applyBorder="1" applyAlignment="1" applyProtection="1">
      <alignment horizontal="center" vertical="center" wrapText="1"/>
      <protection hidden="1"/>
    </xf>
    <xf numFmtId="0" fontId="19" fillId="49" borderId="38" xfId="0" applyFont="1" applyFill="1" applyBorder="1" applyAlignment="1" applyProtection="1">
      <alignment horizontal="center" vertical="center" wrapText="1"/>
      <protection hidden="1"/>
    </xf>
    <xf numFmtId="0" fontId="0" fillId="33" borderId="48" xfId="0" applyFont="1" applyFill="1" applyBorder="1" applyAlignment="1" applyProtection="1">
      <alignment/>
      <protection hidden="1"/>
    </xf>
    <xf numFmtId="0" fontId="8" fillId="49" borderId="35" xfId="0" applyFont="1" applyFill="1" applyBorder="1" applyAlignment="1" applyProtection="1">
      <alignment horizontal="center"/>
      <protection hidden="1"/>
    </xf>
    <xf numFmtId="0" fontId="8" fillId="49" borderId="49" xfId="0" applyFont="1" applyFill="1" applyBorder="1" applyAlignment="1" applyProtection="1">
      <alignment horizontal="center"/>
      <protection hidden="1"/>
    </xf>
    <xf numFmtId="0" fontId="8" fillId="49" borderId="14" xfId="0" applyFont="1" applyFill="1" applyBorder="1" applyAlignment="1" applyProtection="1">
      <alignment horizontal="center"/>
      <protection hidden="1"/>
    </xf>
    <xf numFmtId="0" fontId="10" fillId="49" borderId="44" xfId="0" applyFont="1" applyFill="1" applyBorder="1" applyAlignment="1" applyProtection="1">
      <alignment horizontal="center" vertical="center" wrapText="1"/>
      <protection hidden="1"/>
    </xf>
    <xf numFmtId="0" fontId="10" fillId="49" borderId="56" xfId="0" applyFont="1" applyFill="1" applyBorder="1" applyAlignment="1" applyProtection="1">
      <alignment horizontal="center" vertical="center" wrapText="1"/>
      <protection hidden="1"/>
    </xf>
    <xf numFmtId="0" fontId="10" fillId="49" borderId="57" xfId="0" applyFont="1" applyFill="1" applyBorder="1" applyAlignment="1" applyProtection="1">
      <alignment horizontal="center" vertical="center" wrapText="1"/>
      <protection hidden="1"/>
    </xf>
    <xf numFmtId="0" fontId="10" fillId="49" borderId="18" xfId="0" applyFont="1" applyFill="1" applyBorder="1" applyAlignment="1" applyProtection="1">
      <alignment horizontal="center" vertical="center" wrapText="1"/>
      <protection hidden="1"/>
    </xf>
    <xf numFmtId="0" fontId="10" fillId="49" borderId="19" xfId="0" applyFont="1" applyFill="1" applyBorder="1" applyAlignment="1" applyProtection="1">
      <alignment horizontal="center" vertical="center" wrapText="1"/>
      <protection hidden="1"/>
    </xf>
    <xf numFmtId="0" fontId="10" fillId="49" borderId="38" xfId="0" applyFont="1" applyFill="1" applyBorder="1" applyAlignment="1" applyProtection="1">
      <alignment horizontal="center" vertical="center" wrapText="1"/>
      <protection hidden="1"/>
    </xf>
    <xf numFmtId="0" fontId="0" fillId="33" borderId="35" xfId="0" applyFill="1" applyBorder="1" applyAlignment="1" applyProtection="1">
      <alignment horizontal="left"/>
      <protection hidden="1"/>
    </xf>
    <xf numFmtId="0" fontId="0" fillId="0" borderId="49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33" borderId="67" xfId="0" applyFill="1" applyBorder="1" applyAlignment="1" applyProtection="1">
      <alignment horizontal="left" wrapText="1"/>
      <protection hidden="1"/>
    </xf>
    <xf numFmtId="0" fontId="0" fillId="33" borderId="68" xfId="0" applyFill="1" applyBorder="1" applyAlignment="1" applyProtection="1">
      <alignment horizontal="left" wrapText="1"/>
      <protection hidden="1"/>
    </xf>
    <xf numFmtId="0" fontId="0" fillId="33" borderId="69" xfId="0" applyFill="1" applyBorder="1" applyAlignment="1" applyProtection="1">
      <alignment horizontal="left" wrapText="1"/>
      <protection hidden="1"/>
    </xf>
    <xf numFmtId="0" fontId="0" fillId="33" borderId="70" xfId="0" applyFill="1" applyBorder="1" applyAlignment="1" applyProtection="1">
      <alignment horizontal="left" wrapText="1"/>
      <protection hidden="1"/>
    </xf>
    <xf numFmtId="0" fontId="0" fillId="33" borderId="71" xfId="0" applyFill="1" applyBorder="1" applyAlignment="1" applyProtection="1">
      <alignment horizontal="left" wrapText="1"/>
      <protection hidden="1"/>
    </xf>
    <xf numFmtId="0" fontId="0" fillId="33" borderId="72" xfId="0" applyFill="1" applyBorder="1" applyAlignment="1" applyProtection="1">
      <alignment horizontal="left" wrapText="1"/>
      <protection hidden="1"/>
    </xf>
    <xf numFmtId="0" fontId="0" fillId="33" borderId="42" xfId="0" applyFont="1" applyFill="1" applyBorder="1" applyAlignment="1" applyProtection="1">
      <alignment horizontal="center"/>
      <protection hidden="1"/>
    </xf>
    <xf numFmtId="0" fontId="0" fillId="33" borderId="55" xfId="0" applyFont="1" applyFill="1" applyBorder="1" applyAlignment="1" applyProtection="1">
      <alignment horizontal="center"/>
      <protection hidden="1"/>
    </xf>
    <xf numFmtId="0" fontId="19" fillId="49" borderId="44" xfId="0" applyFont="1" applyFill="1" applyBorder="1" applyAlignment="1" applyProtection="1">
      <alignment horizontal="center" wrapText="1"/>
      <protection hidden="1"/>
    </xf>
    <xf numFmtId="0" fontId="0" fillId="18" borderId="0" xfId="0" applyFont="1" applyFill="1" applyBorder="1" applyAlignment="1" applyProtection="1">
      <alignment horizontal="center"/>
      <protection/>
    </xf>
    <xf numFmtId="0" fontId="105" fillId="40" borderId="30" xfId="0" applyFont="1" applyFill="1" applyBorder="1" applyAlignment="1" applyProtection="1">
      <alignment horizontal="center"/>
      <protection/>
    </xf>
    <xf numFmtId="0" fontId="105" fillId="40" borderId="54" xfId="0" applyFont="1" applyFill="1" applyBorder="1" applyAlignment="1" applyProtection="1">
      <alignment horizontal="center"/>
      <protection/>
    </xf>
    <xf numFmtId="0" fontId="105" fillId="40" borderId="36" xfId="0" applyFont="1" applyFill="1" applyBorder="1" applyAlignment="1" applyProtection="1">
      <alignment horizontal="center"/>
      <protection/>
    </xf>
    <xf numFmtId="0" fontId="6" fillId="41" borderId="42" xfId="0" applyFont="1" applyFill="1" applyBorder="1" applyAlignment="1" applyProtection="1">
      <alignment horizontal="center" vertical="center" wrapText="1"/>
      <protection/>
    </xf>
    <xf numFmtId="0" fontId="44" fillId="41" borderId="55" xfId="0" applyFont="1" applyFill="1" applyBorder="1" applyAlignment="1" applyProtection="1">
      <alignment horizontal="center" vertical="center" wrapText="1"/>
      <protection/>
    </xf>
    <xf numFmtId="0" fontId="44" fillId="41" borderId="13" xfId="0" applyFont="1" applyFill="1" applyBorder="1" applyAlignment="1" applyProtection="1">
      <alignment horizontal="center" vertical="center" wrapText="1"/>
      <protection/>
    </xf>
    <xf numFmtId="0" fontId="44" fillId="41" borderId="11" xfId="0" applyFont="1" applyFill="1" applyBorder="1" applyAlignment="1" applyProtection="1">
      <alignment horizontal="center" vertical="center" wrapText="1"/>
      <protection/>
    </xf>
    <xf numFmtId="0" fontId="44" fillId="41" borderId="10" xfId="0" applyFont="1" applyFill="1" applyBorder="1" applyAlignment="1" applyProtection="1">
      <alignment horizontal="center" vertical="center" wrapText="1"/>
      <protection/>
    </xf>
    <xf numFmtId="0" fontId="44" fillId="41" borderId="15" xfId="0" applyFont="1" applyFill="1" applyBorder="1" applyAlignment="1" applyProtection="1">
      <alignment horizontal="center" vertical="center" wrapText="1"/>
      <protection/>
    </xf>
    <xf numFmtId="0" fontId="44" fillId="41" borderId="12" xfId="0" applyFont="1" applyFill="1" applyBorder="1" applyAlignment="1" applyProtection="1">
      <alignment horizontal="center" vertical="center" wrapText="1"/>
      <protection/>
    </xf>
    <xf numFmtId="0" fontId="44" fillId="41" borderId="48" xfId="0" applyFont="1" applyFill="1" applyBorder="1" applyAlignment="1" applyProtection="1">
      <alignment horizontal="center" vertical="center" wrapText="1"/>
      <protection/>
    </xf>
    <xf numFmtId="0" fontId="44" fillId="41" borderId="16" xfId="0" applyFont="1" applyFill="1" applyBorder="1" applyAlignment="1" applyProtection="1">
      <alignment horizontal="center" vertical="center" wrapText="1"/>
      <protection/>
    </xf>
    <xf numFmtId="0" fontId="121" fillId="38" borderId="24" xfId="0" applyFont="1" applyFill="1" applyBorder="1" applyAlignment="1" applyProtection="1">
      <alignment horizontal="center" vertical="center"/>
      <protection locked="0"/>
    </xf>
    <xf numFmtId="0" fontId="121" fillId="38" borderId="34" xfId="0" applyFont="1" applyFill="1" applyBorder="1" applyAlignment="1" applyProtection="1">
      <alignment horizontal="center" vertical="center"/>
      <protection locked="0"/>
    </xf>
    <xf numFmtId="0" fontId="121" fillId="38" borderId="37" xfId="0" applyFont="1" applyFill="1" applyBorder="1" applyAlignment="1" applyProtection="1">
      <alignment horizontal="center" vertical="center"/>
      <protection locked="0"/>
    </xf>
    <xf numFmtId="0" fontId="118" fillId="38" borderId="24" xfId="0" applyFont="1" applyFill="1" applyBorder="1" applyAlignment="1" applyProtection="1">
      <alignment horizontal="center"/>
      <protection locked="0"/>
    </xf>
    <xf numFmtId="0" fontId="118" fillId="38" borderId="37" xfId="0" applyFont="1" applyFill="1" applyBorder="1" applyAlignment="1" applyProtection="1">
      <alignment horizontal="center"/>
      <protection locked="0"/>
    </xf>
    <xf numFmtId="0" fontId="0" fillId="41" borderId="11" xfId="0" applyFont="1" applyFill="1" applyBorder="1" applyAlignment="1" applyProtection="1">
      <alignment horizontal="center"/>
      <protection/>
    </xf>
    <xf numFmtId="0" fontId="0" fillId="41" borderId="10" xfId="0" applyFont="1" applyFill="1" applyBorder="1" applyAlignment="1" applyProtection="1">
      <alignment horizontal="center"/>
      <protection/>
    </xf>
    <xf numFmtId="0" fontId="0" fillId="41" borderId="35" xfId="0" applyFont="1" applyFill="1" applyBorder="1" applyAlignment="1" applyProtection="1">
      <alignment horizontal="center"/>
      <protection/>
    </xf>
    <xf numFmtId="0" fontId="57" fillId="47" borderId="30" xfId="0" applyFont="1" applyFill="1" applyBorder="1" applyAlignment="1" applyProtection="1">
      <alignment horizontal="center" wrapText="1"/>
      <protection/>
    </xf>
    <xf numFmtId="0" fontId="57" fillId="47" borderId="54" xfId="0" applyFont="1" applyFill="1" applyBorder="1" applyAlignment="1" applyProtection="1">
      <alignment horizontal="center" wrapText="1"/>
      <protection/>
    </xf>
    <xf numFmtId="0" fontId="10" fillId="40" borderId="30" xfId="0" applyFont="1" applyFill="1" applyBorder="1" applyAlignment="1" applyProtection="1">
      <alignment horizontal="center"/>
      <protection/>
    </xf>
    <xf numFmtId="0" fontId="10" fillId="40" borderId="54" xfId="0" applyFont="1" applyFill="1" applyBorder="1" applyAlignment="1" applyProtection="1">
      <alignment horizontal="center"/>
      <protection/>
    </xf>
    <xf numFmtId="0" fontId="10" fillId="40" borderId="36" xfId="0" applyFont="1" applyFill="1" applyBorder="1" applyAlignment="1" applyProtection="1">
      <alignment horizontal="center"/>
      <protection/>
    </xf>
    <xf numFmtId="0" fontId="43" fillId="47" borderId="30" xfId="0" applyFont="1" applyFill="1" applyBorder="1" applyAlignment="1" applyProtection="1">
      <alignment horizontal="center" wrapText="1"/>
      <protection/>
    </xf>
    <xf numFmtId="0" fontId="43" fillId="47" borderId="54" xfId="0" applyFont="1" applyFill="1" applyBorder="1" applyAlignment="1" applyProtection="1">
      <alignment horizontal="center" wrapText="1"/>
      <protection/>
    </xf>
    <xf numFmtId="0" fontId="40" fillId="18" borderId="0" xfId="0" applyFont="1" applyFill="1" applyAlignment="1" applyProtection="1">
      <alignment horizontal="left"/>
      <protection/>
    </xf>
    <xf numFmtId="0" fontId="0" fillId="18" borderId="0" xfId="0" applyFont="1" applyFill="1" applyAlignment="1" applyProtection="1">
      <alignment horizontal="center"/>
      <protection/>
    </xf>
    <xf numFmtId="0" fontId="105" fillId="41" borderId="55" xfId="0" applyFont="1" applyFill="1" applyBorder="1" applyAlignment="1" applyProtection="1">
      <alignment horizontal="center"/>
      <protection/>
    </xf>
    <xf numFmtId="0" fontId="105" fillId="41" borderId="13" xfId="0" applyFont="1" applyFill="1" applyBorder="1" applyAlignment="1" applyProtection="1">
      <alignment horizontal="center"/>
      <protection/>
    </xf>
    <xf numFmtId="1" fontId="121" fillId="38" borderId="69" xfId="0" applyNumberFormat="1" applyFont="1" applyFill="1" applyBorder="1" applyAlignment="1" applyProtection="1">
      <alignment horizontal="center" vertical="center"/>
      <protection locked="0"/>
    </xf>
    <xf numFmtId="1" fontId="121" fillId="38" borderId="73" xfId="0" applyNumberFormat="1" applyFont="1" applyFill="1" applyBorder="1" applyAlignment="1" applyProtection="1">
      <alignment horizontal="center" vertical="center"/>
      <protection locked="0"/>
    </xf>
    <xf numFmtId="1" fontId="121" fillId="38" borderId="72" xfId="0" applyNumberFormat="1" applyFont="1" applyFill="1" applyBorder="1" applyAlignment="1" applyProtection="1">
      <alignment horizontal="center" vertical="center"/>
      <protection locked="0"/>
    </xf>
    <xf numFmtId="0" fontId="105" fillId="41" borderId="10" xfId="0" applyFont="1" applyFill="1" applyBorder="1" applyAlignment="1" applyProtection="1">
      <alignment horizontal="center"/>
      <protection/>
    </xf>
    <xf numFmtId="0" fontId="105" fillId="41" borderId="15" xfId="0" applyFont="1" applyFill="1" applyBorder="1" applyAlignment="1" applyProtection="1">
      <alignment horizontal="center"/>
      <protection/>
    </xf>
    <xf numFmtId="0" fontId="105" fillId="41" borderId="48" xfId="0" applyFont="1" applyFill="1" applyBorder="1" applyAlignment="1" applyProtection="1">
      <alignment horizontal="center"/>
      <protection/>
    </xf>
    <xf numFmtId="0" fontId="105" fillId="41" borderId="16" xfId="0" applyFont="1" applyFill="1" applyBorder="1" applyAlignment="1" applyProtection="1">
      <alignment horizontal="center"/>
      <protection/>
    </xf>
    <xf numFmtId="0" fontId="0" fillId="41" borderId="12" xfId="0" applyFont="1" applyFill="1" applyBorder="1" applyAlignment="1" applyProtection="1">
      <alignment horizontal="center"/>
      <protection/>
    </xf>
    <xf numFmtId="0" fontId="0" fillId="41" borderId="48" xfId="0" applyFont="1" applyFill="1" applyBorder="1" applyAlignment="1" applyProtection="1">
      <alignment horizontal="center"/>
      <protection/>
    </xf>
    <xf numFmtId="0" fontId="0" fillId="41" borderId="74" xfId="0" applyFont="1" applyFill="1" applyBorder="1" applyAlignment="1" applyProtection="1">
      <alignment horizontal="center"/>
      <protection/>
    </xf>
    <xf numFmtId="0" fontId="11" fillId="40" borderId="51" xfId="0" applyFont="1" applyFill="1" applyBorder="1" applyAlignment="1" applyProtection="1">
      <alignment horizontal="center"/>
      <protection/>
    </xf>
    <xf numFmtId="0" fontId="11" fillId="40" borderId="61" xfId="0" applyFont="1" applyFill="1" applyBorder="1" applyAlignment="1" applyProtection="1">
      <alignment horizontal="center"/>
      <protection/>
    </xf>
    <xf numFmtId="0" fontId="11" fillId="40" borderId="57" xfId="0" applyFont="1" applyFill="1" applyBorder="1" applyAlignment="1" applyProtection="1">
      <alignment horizontal="center"/>
      <protection/>
    </xf>
    <xf numFmtId="0" fontId="0" fillId="41" borderId="31" xfId="0" applyFont="1" applyFill="1" applyBorder="1" applyAlignment="1" applyProtection="1">
      <alignment horizontal="left"/>
      <protection/>
    </xf>
    <xf numFmtId="0" fontId="0" fillId="41" borderId="32" xfId="0" applyFont="1" applyFill="1" applyBorder="1" applyAlignment="1" applyProtection="1">
      <alignment horizontal="left"/>
      <protection/>
    </xf>
    <xf numFmtId="0" fontId="0" fillId="41" borderId="17" xfId="0" applyFont="1" applyFill="1" applyBorder="1" applyAlignment="1" applyProtection="1">
      <alignment horizontal="left"/>
      <protection/>
    </xf>
    <xf numFmtId="0" fontId="11" fillId="40" borderId="42" xfId="0" applyFont="1" applyFill="1" applyBorder="1" applyAlignment="1" applyProtection="1">
      <alignment horizontal="left"/>
      <protection/>
    </xf>
    <xf numFmtId="0" fontId="11" fillId="40" borderId="55" xfId="0" applyFont="1" applyFill="1" applyBorder="1" applyAlignment="1" applyProtection="1">
      <alignment horizontal="left"/>
      <protection/>
    </xf>
    <xf numFmtId="0" fontId="0" fillId="41" borderId="11" xfId="0" applyFont="1" applyFill="1" applyBorder="1" applyAlignment="1" applyProtection="1">
      <alignment horizontal="left"/>
      <protection/>
    </xf>
    <xf numFmtId="0" fontId="0" fillId="41" borderId="10" xfId="0" applyFont="1" applyFill="1" applyBorder="1" applyAlignment="1" applyProtection="1">
      <alignment horizontal="left"/>
      <protection/>
    </xf>
    <xf numFmtId="0" fontId="11" fillId="40" borderId="30" xfId="0" applyFont="1" applyFill="1" applyBorder="1" applyAlignment="1" applyProtection="1">
      <alignment horizontal="center" vertical="center" wrapText="1"/>
      <protection/>
    </xf>
    <xf numFmtId="0" fontId="11" fillId="40" borderId="54" xfId="0" applyFont="1" applyFill="1" applyBorder="1" applyAlignment="1" applyProtection="1">
      <alignment horizontal="center" vertical="center" wrapText="1"/>
      <protection/>
    </xf>
    <xf numFmtId="0" fontId="11" fillId="40" borderId="36" xfId="0" applyFont="1" applyFill="1" applyBorder="1" applyAlignment="1" applyProtection="1">
      <alignment horizontal="center" vertical="center" wrapText="1"/>
      <protection/>
    </xf>
    <xf numFmtId="0" fontId="105" fillId="41" borderId="75" xfId="0" applyFont="1" applyFill="1" applyBorder="1" applyAlignment="1" applyProtection="1">
      <alignment horizontal="center" vertical="center" wrapText="1"/>
      <protection/>
    </xf>
    <xf numFmtId="0" fontId="105" fillId="41" borderId="41" xfId="0" applyFont="1" applyFill="1" applyBorder="1" applyAlignment="1" applyProtection="1">
      <alignment horizontal="center" vertical="center" wrapText="1"/>
      <protection/>
    </xf>
    <xf numFmtId="0" fontId="0" fillId="41" borderId="12" xfId="0" applyFont="1" applyFill="1" applyBorder="1" applyAlignment="1" applyProtection="1">
      <alignment horizontal="left"/>
      <protection/>
    </xf>
    <xf numFmtId="0" fontId="0" fillId="41" borderId="48" xfId="0" applyFont="1" applyFill="1" applyBorder="1" applyAlignment="1" applyProtection="1">
      <alignment horizontal="left"/>
      <protection/>
    </xf>
    <xf numFmtId="0" fontId="0" fillId="41" borderId="42" xfId="0" applyFont="1" applyFill="1" applyBorder="1" applyAlignment="1" applyProtection="1">
      <alignment horizontal="left"/>
      <protection/>
    </xf>
    <xf numFmtId="0" fontId="0" fillId="41" borderId="55" xfId="0" applyFont="1" applyFill="1" applyBorder="1" applyAlignment="1" applyProtection="1">
      <alignment horizontal="left"/>
      <protection/>
    </xf>
    <xf numFmtId="0" fontId="0" fillId="41" borderId="13" xfId="0" applyFont="1" applyFill="1" applyBorder="1" applyAlignment="1" applyProtection="1">
      <alignment horizontal="left"/>
      <protection/>
    </xf>
    <xf numFmtId="0" fontId="0" fillId="41" borderId="16" xfId="0" applyFont="1" applyFill="1" applyBorder="1" applyAlignment="1" applyProtection="1">
      <alignment horizontal="left"/>
      <protection/>
    </xf>
    <xf numFmtId="0" fontId="105" fillId="41" borderId="76" xfId="0" applyFont="1" applyFill="1" applyBorder="1" applyAlignment="1" applyProtection="1">
      <alignment horizontal="center" wrapText="1"/>
      <protection/>
    </xf>
    <xf numFmtId="0" fontId="105" fillId="41" borderId="22" xfId="0" applyFont="1" applyFill="1" applyBorder="1" applyAlignment="1" applyProtection="1">
      <alignment horizontal="center" wrapText="1"/>
      <protection/>
    </xf>
    <xf numFmtId="0" fontId="0" fillId="41" borderId="52" xfId="0" applyFont="1" applyFill="1" applyBorder="1" applyAlignment="1" applyProtection="1">
      <alignment horizontal="left"/>
      <protection/>
    </xf>
    <xf numFmtId="0" fontId="0" fillId="41" borderId="49" xfId="0" applyFont="1" applyFill="1" applyBorder="1" applyAlignment="1" applyProtection="1">
      <alignment horizontal="left"/>
      <protection/>
    </xf>
    <xf numFmtId="0" fontId="0" fillId="41" borderId="53" xfId="0" applyFont="1" applyFill="1" applyBorder="1" applyAlignment="1" applyProtection="1">
      <alignment horizontal="left"/>
      <protection/>
    </xf>
    <xf numFmtId="0" fontId="0" fillId="41" borderId="65" xfId="0" applyFont="1" applyFill="1" applyBorder="1" applyAlignment="1" applyProtection="1">
      <alignment horizontal="left"/>
      <protection/>
    </xf>
    <xf numFmtId="0" fontId="105" fillId="41" borderId="42" xfId="0" applyFont="1" applyFill="1" applyBorder="1" applyAlignment="1" applyProtection="1">
      <alignment horizontal="center" vertical="center" wrapText="1"/>
      <protection/>
    </xf>
    <xf numFmtId="0" fontId="105" fillId="41" borderId="11" xfId="0" applyFont="1" applyFill="1" applyBorder="1" applyAlignment="1" applyProtection="1">
      <alignment horizontal="center" vertical="center" wrapText="1"/>
      <protection/>
    </xf>
    <xf numFmtId="0" fontId="8" fillId="41" borderId="55" xfId="0" applyFont="1" applyFill="1" applyBorder="1" applyAlignment="1" applyProtection="1">
      <alignment horizontal="center" wrapText="1"/>
      <protection/>
    </xf>
    <xf numFmtId="0" fontId="8" fillId="41" borderId="13" xfId="0" applyFont="1" applyFill="1" applyBorder="1" applyAlignment="1" applyProtection="1">
      <alignment horizontal="center" wrapText="1"/>
      <protection/>
    </xf>
    <xf numFmtId="0" fontId="113" fillId="41" borderId="77" xfId="0" applyFont="1" applyFill="1" applyBorder="1" applyAlignment="1" applyProtection="1">
      <alignment horizontal="center" vertical="center" wrapText="1"/>
      <protection/>
    </xf>
    <xf numFmtId="0" fontId="113" fillId="41" borderId="78" xfId="0" applyFont="1" applyFill="1" applyBorder="1" applyAlignment="1" applyProtection="1">
      <alignment horizontal="center" vertical="center" wrapText="1"/>
      <protection/>
    </xf>
    <xf numFmtId="0" fontId="113" fillId="41" borderId="55" xfId="0" applyFont="1" applyFill="1" applyBorder="1" applyAlignment="1" applyProtection="1">
      <alignment horizontal="center"/>
      <protection/>
    </xf>
    <xf numFmtId="0" fontId="113" fillId="41" borderId="13" xfId="0" applyFont="1" applyFill="1" applyBorder="1" applyAlignment="1" applyProtection="1">
      <alignment horizontal="center"/>
      <protection/>
    </xf>
    <xf numFmtId="0" fontId="0" fillId="41" borderId="43" xfId="0" applyFont="1" applyFill="1" applyBorder="1" applyAlignment="1" applyProtection="1">
      <alignment horizontal="center"/>
      <protection/>
    </xf>
    <xf numFmtId="0" fontId="0" fillId="41" borderId="50" xfId="0" applyFont="1" applyFill="1" applyBorder="1" applyAlignment="1" applyProtection="1">
      <alignment horizontal="center"/>
      <protection/>
    </xf>
    <xf numFmtId="0" fontId="0" fillId="41" borderId="51" xfId="0" applyFont="1" applyFill="1" applyBorder="1" applyAlignment="1" applyProtection="1">
      <alignment horizontal="left"/>
      <protection/>
    </xf>
    <xf numFmtId="0" fontId="0" fillId="41" borderId="61" xfId="0" applyFont="1" applyFill="1" applyBorder="1" applyAlignment="1" applyProtection="1">
      <alignment horizontal="left"/>
      <protection/>
    </xf>
    <xf numFmtId="0" fontId="0" fillId="41" borderId="79" xfId="0" applyFont="1" applyFill="1" applyBorder="1" applyAlignment="1" applyProtection="1">
      <alignment horizontal="center"/>
      <protection/>
    </xf>
    <xf numFmtId="0" fontId="0" fillId="41" borderId="71" xfId="0" applyFont="1" applyFill="1" applyBorder="1" applyAlignment="1" applyProtection="1">
      <alignment horizontal="center"/>
      <protection/>
    </xf>
    <xf numFmtId="0" fontId="0" fillId="41" borderId="80" xfId="0" applyFont="1" applyFill="1" applyBorder="1" applyAlignment="1" applyProtection="1">
      <alignment horizontal="center"/>
      <protection/>
    </xf>
    <xf numFmtId="0" fontId="0" fillId="41" borderId="52" xfId="0" applyFont="1" applyFill="1" applyBorder="1" applyAlignment="1" applyProtection="1">
      <alignment horizontal="center"/>
      <protection/>
    </xf>
    <xf numFmtId="0" fontId="0" fillId="41" borderId="49" xfId="0" applyFont="1" applyFill="1" applyBorder="1" applyAlignment="1" applyProtection="1">
      <alignment horizontal="center"/>
      <protection/>
    </xf>
    <xf numFmtId="0" fontId="0" fillId="41" borderId="28" xfId="0" applyFont="1" applyFill="1" applyBorder="1" applyAlignment="1" applyProtection="1">
      <alignment horizontal="center"/>
      <protection/>
    </xf>
    <xf numFmtId="0" fontId="0" fillId="41" borderId="53" xfId="0" applyFont="1" applyFill="1" applyBorder="1" applyAlignment="1" applyProtection="1">
      <alignment horizontal="center"/>
      <protection/>
    </xf>
    <xf numFmtId="0" fontId="0" fillId="41" borderId="65" xfId="0" applyFont="1" applyFill="1" applyBorder="1" applyAlignment="1" applyProtection="1">
      <alignment horizontal="center"/>
      <protection/>
    </xf>
    <xf numFmtId="0" fontId="0" fillId="41" borderId="81" xfId="0" applyFont="1" applyFill="1" applyBorder="1" applyAlignment="1" applyProtection="1">
      <alignment horizontal="center"/>
      <protection/>
    </xf>
    <xf numFmtId="0" fontId="118" fillId="38" borderId="57" xfId="0" applyFont="1" applyFill="1" applyBorder="1" applyAlignment="1" applyProtection="1">
      <alignment horizontal="center" vertical="center" wrapText="1"/>
      <protection locked="0"/>
    </xf>
    <xf numFmtId="0" fontId="118" fillId="38" borderId="59" xfId="0" applyFont="1" applyFill="1" applyBorder="1" applyAlignment="1" applyProtection="1">
      <alignment horizontal="center" vertical="center" wrapText="1"/>
      <protection locked="0"/>
    </xf>
    <xf numFmtId="0" fontId="118" fillId="38" borderId="38" xfId="0" applyFont="1" applyFill="1" applyBorder="1" applyAlignment="1" applyProtection="1">
      <alignment horizontal="center" vertical="center" wrapText="1"/>
      <protection locked="0"/>
    </xf>
    <xf numFmtId="0" fontId="108" fillId="41" borderId="12" xfId="0" applyFont="1" applyFill="1" applyBorder="1" applyAlignment="1" applyProtection="1">
      <alignment horizontal="left"/>
      <protection/>
    </xf>
    <xf numFmtId="0" fontId="108" fillId="41" borderId="48" xfId="0" applyFont="1" applyFill="1" applyBorder="1" applyAlignment="1" applyProtection="1">
      <alignment horizontal="left"/>
      <protection/>
    </xf>
    <xf numFmtId="0" fontId="40" fillId="40" borderId="44" xfId="0" applyFont="1" applyFill="1" applyBorder="1" applyAlignment="1" applyProtection="1">
      <alignment horizontal="center" vertical="center" wrapText="1"/>
      <protection/>
    </xf>
    <xf numFmtId="0" fontId="40" fillId="40" borderId="56" xfId="0" applyFont="1" applyFill="1" applyBorder="1" applyAlignment="1" applyProtection="1">
      <alignment horizontal="center" vertical="center" wrapText="1"/>
      <protection/>
    </xf>
    <xf numFmtId="0" fontId="40" fillId="40" borderId="57" xfId="0" applyFont="1" applyFill="1" applyBorder="1" applyAlignment="1" applyProtection="1">
      <alignment horizontal="center" vertical="center" wrapText="1"/>
      <protection/>
    </xf>
    <xf numFmtId="0" fontId="40" fillId="40" borderId="18" xfId="0" applyFont="1" applyFill="1" applyBorder="1" applyAlignment="1" applyProtection="1">
      <alignment horizontal="center" vertical="center" wrapText="1"/>
      <protection/>
    </xf>
    <xf numFmtId="0" fontId="40" fillId="40" borderId="19" xfId="0" applyFont="1" applyFill="1" applyBorder="1" applyAlignment="1" applyProtection="1">
      <alignment horizontal="center" vertical="center" wrapText="1"/>
      <protection/>
    </xf>
    <xf numFmtId="0" fontId="40" fillId="40" borderId="38" xfId="0" applyFont="1" applyFill="1" applyBorder="1" applyAlignment="1" applyProtection="1">
      <alignment horizontal="center" vertical="center" wrapText="1"/>
      <protection/>
    </xf>
    <xf numFmtId="0" fontId="40" fillId="40" borderId="44" xfId="0" applyFont="1" applyFill="1" applyBorder="1" applyAlignment="1" applyProtection="1">
      <alignment horizontal="center"/>
      <protection/>
    </xf>
    <xf numFmtId="0" fontId="40" fillId="40" borderId="56" xfId="0" applyFont="1" applyFill="1" applyBorder="1" applyAlignment="1" applyProtection="1">
      <alignment horizontal="center"/>
      <protection/>
    </xf>
    <xf numFmtId="0" fontId="40" fillId="40" borderId="57" xfId="0" applyFont="1" applyFill="1" applyBorder="1" applyAlignment="1" applyProtection="1">
      <alignment horizontal="center"/>
      <protection/>
    </xf>
    <xf numFmtId="0" fontId="108" fillId="41" borderId="51" xfId="0" applyFont="1" applyFill="1" applyBorder="1" applyAlignment="1" applyProtection="1">
      <alignment horizontal="left" vertical="center"/>
      <protection/>
    </xf>
    <xf numFmtId="0" fontId="108" fillId="41" borderId="62" xfId="0" applyFont="1" applyFill="1" applyBorder="1" applyAlignment="1" applyProtection="1">
      <alignment horizontal="left" vertical="center"/>
      <protection/>
    </xf>
    <xf numFmtId="0" fontId="108" fillId="41" borderId="11" xfId="0" applyFont="1" applyFill="1" applyBorder="1" applyAlignment="1" applyProtection="1">
      <alignment horizontal="left"/>
      <protection/>
    </xf>
    <xf numFmtId="0" fontId="108" fillId="41" borderId="10" xfId="0" applyFont="1" applyFill="1" applyBorder="1" applyAlignment="1" applyProtection="1">
      <alignment horizontal="left"/>
      <protection/>
    </xf>
    <xf numFmtId="0" fontId="40" fillId="40" borderId="30" xfId="0" applyFont="1" applyFill="1" applyBorder="1" applyAlignment="1" applyProtection="1">
      <alignment horizontal="center"/>
      <protection/>
    </xf>
    <xf numFmtId="0" fontId="40" fillId="40" borderId="54" xfId="0" applyFont="1" applyFill="1" applyBorder="1" applyAlignment="1" applyProtection="1">
      <alignment horizontal="center"/>
      <protection/>
    </xf>
    <xf numFmtId="0" fontId="40" fillId="40" borderId="36" xfId="0" applyFont="1" applyFill="1" applyBorder="1" applyAlignment="1" applyProtection="1">
      <alignment horizontal="center"/>
      <protection/>
    </xf>
    <xf numFmtId="0" fontId="11" fillId="40" borderId="30" xfId="0" applyFont="1" applyFill="1" applyBorder="1" applyAlignment="1" applyProtection="1">
      <alignment horizontal="center"/>
      <protection/>
    </xf>
    <xf numFmtId="0" fontId="11" fillId="40" borderId="54" xfId="0" applyFont="1" applyFill="1" applyBorder="1" applyAlignment="1" applyProtection="1">
      <alignment horizontal="center"/>
      <protection/>
    </xf>
    <xf numFmtId="0" fontId="11" fillId="40" borderId="36" xfId="0" applyFont="1" applyFill="1" applyBorder="1" applyAlignment="1" applyProtection="1">
      <alignment horizontal="center"/>
      <protection/>
    </xf>
    <xf numFmtId="0" fontId="108" fillId="33" borderId="51" xfId="0" applyFont="1" applyFill="1" applyBorder="1" applyAlignment="1" applyProtection="1">
      <alignment horizontal="left" vertical="center"/>
      <protection/>
    </xf>
    <xf numFmtId="0" fontId="108" fillId="33" borderId="62" xfId="0" applyFont="1" applyFill="1" applyBorder="1" applyAlignment="1" applyProtection="1">
      <alignment horizontal="left" vertical="center"/>
      <protection/>
    </xf>
    <xf numFmtId="0" fontId="108" fillId="33" borderId="11" xfId="0" applyFont="1" applyFill="1" applyBorder="1" applyAlignment="1" applyProtection="1">
      <alignment horizontal="left"/>
      <protection/>
    </xf>
    <xf numFmtId="0" fontId="108" fillId="33" borderId="10" xfId="0" applyFont="1" applyFill="1" applyBorder="1" applyAlignment="1" applyProtection="1">
      <alignment horizontal="left"/>
      <protection/>
    </xf>
    <xf numFmtId="0" fontId="40" fillId="49" borderId="30" xfId="0" applyFont="1" applyFill="1" applyBorder="1" applyAlignment="1" applyProtection="1">
      <alignment horizontal="center"/>
      <protection/>
    </xf>
    <xf numFmtId="0" fontId="40" fillId="49" borderId="54" xfId="0" applyFont="1" applyFill="1" applyBorder="1" applyAlignment="1" applyProtection="1">
      <alignment horizontal="center"/>
      <protection/>
    </xf>
    <xf numFmtId="0" fontId="40" fillId="49" borderId="36" xfId="0" applyFont="1" applyFill="1" applyBorder="1" applyAlignment="1" applyProtection="1">
      <alignment horizontal="center"/>
      <protection/>
    </xf>
    <xf numFmtId="0" fontId="0" fillId="43" borderId="68" xfId="0" applyFont="1" applyFill="1" applyBorder="1" applyAlignment="1" applyProtection="1">
      <alignment horizontal="center"/>
      <protection hidden="1" locked="0"/>
    </xf>
    <xf numFmtId="0" fontId="0" fillId="43" borderId="0" xfId="0" applyFont="1" applyFill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48" xfId="0" applyFont="1" applyBorder="1" applyAlignment="1" applyProtection="1">
      <alignment horizontal="center"/>
      <protection hidden="1" locked="0"/>
    </xf>
    <xf numFmtId="0" fontId="0" fillId="0" borderId="16" xfId="0" applyFont="1" applyBorder="1" applyAlignment="1" applyProtection="1">
      <alignment horizontal="center"/>
      <protection hidden="1" locked="0"/>
    </xf>
    <xf numFmtId="0" fontId="11" fillId="49" borderId="42" xfId="0" applyFont="1" applyFill="1" applyBorder="1" applyAlignment="1" applyProtection="1">
      <alignment horizontal="center"/>
      <protection hidden="1" locked="0"/>
    </xf>
    <xf numFmtId="0" fontId="11" fillId="49" borderId="55" xfId="0" applyFont="1" applyFill="1" applyBorder="1" applyAlignment="1" applyProtection="1">
      <alignment horizontal="center"/>
      <protection hidden="1" locked="0"/>
    </xf>
    <xf numFmtId="0" fontId="11" fillId="49" borderId="13" xfId="0" applyFont="1" applyFill="1" applyBorder="1" applyAlignment="1" applyProtection="1">
      <alignment horizontal="center"/>
      <protection hidden="1" locked="0"/>
    </xf>
    <xf numFmtId="0" fontId="122" fillId="38" borderId="24" xfId="0" applyFont="1" applyFill="1" applyBorder="1" applyAlignment="1" applyProtection="1">
      <alignment horizontal="center"/>
      <protection hidden="1" locked="0"/>
    </xf>
    <xf numFmtId="0" fontId="122" fillId="38" borderId="34" xfId="0" applyFont="1" applyFill="1" applyBorder="1" applyAlignment="1" applyProtection="1">
      <alignment horizontal="center"/>
      <protection hidden="1" locked="0"/>
    </xf>
    <xf numFmtId="0" fontId="122" fillId="38" borderId="37" xfId="0" applyFont="1" applyFill="1" applyBorder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43" fillId="39" borderId="30" xfId="0" applyFont="1" applyFill="1" applyBorder="1" applyAlignment="1" applyProtection="1">
      <alignment horizontal="center" wrapText="1"/>
      <protection hidden="1" locked="0"/>
    </xf>
    <xf numFmtId="0" fontId="43" fillId="39" borderId="54" xfId="0" applyFont="1" applyFill="1" applyBorder="1" applyAlignment="1" applyProtection="1">
      <alignment horizontal="center" wrapText="1"/>
      <protection hidden="1" locked="0"/>
    </xf>
    <xf numFmtId="0" fontId="105" fillId="0" borderId="0" xfId="0" applyFont="1" applyAlignment="1" applyProtection="1">
      <alignment horizontal="center"/>
      <protection hidden="1" locked="0"/>
    </xf>
    <xf numFmtId="0" fontId="105" fillId="0" borderId="73" xfId="0" applyFont="1" applyBorder="1" applyAlignment="1" applyProtection="1">
      <alignment horizontal="center"/>
      <protection hidden="1" locked="0"/>
    </xf>
    <xf numFmtId="0" fontId="0" fillId="0" borderId="35" xfId="0" applyFont="1" applyBorder="1" applyAlignment="1" applyProtection="1">
      <alignment horizontal="left"/>
      <protection hidden="1" locked="0"/>
    </xf>
    <xf numFmtId="0" fontId="0" fillId="0" borderId="49" xfId="0" applyFont="1" applyBorder="1" applyAlignment="1" applyProtection="1">
      <alignment horizontal="left"/>
      <protection hidden="1" locked="0"/>
    </xf>
    <xf numFmtId="0" fontId="17" fillId="0" borderId="35" xfId="0" applyFont="1" applyBorder="1" applyAlignment="1" applyProtection="1">
      <alignment horizontal="center" vertical="center" wrapText="1"/>
      <protection hidden="1" locked="0"/>
    </xf>
    <xf numFmtId="0" fontId="17" fillId="0" borderId="49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40" fillId="0" borderId="0" xfId="0" applyFont="1" applyAlignment="1" applyProtection="1">
      <alignment horizontal="left"/>
      <protection hidden="1" locked="0"/>
    </xf>
    <xf numFmtId="0" fontId="40" fillId="49" borderId="44" xfId="0" applyFont="1" applyFill="1" applyBorder="1" applyAlignment="1" applyProtection="1">
      <alignment horizontal="center" vertical="center" wrapText="1"/>
      <protection hidden="1"/>
    </xf>
    <xf numFmtId="0" fontId="40" fillId="49" borderId="56" xfId="0" applyFont="1" applyFill="1" applyBorder="1" applyAlignment="1" applyProtection="1">
      <alignment horizontal="center" vertical="center" wrapText="1"/>
      <protection hidden="1"/>
    </xf>
    <xf numFmtId="0" fontId="40" fillId="49" borderId="57" xfId="0" applyFont="1" applyFill="1" applyBorder="1" applyAlignment="1" applyProtection="1">
      <alignment horizontal="center" vertical="center" wrapText="1"/>
      <protection hidden="1"/>
    </xf>
    <xf numFmtId="0" fontId="40" fillId="49" borderId="18" xfId="0" applyFont="1" applyFill="1" applyBorder="1" applyAlignment="1" applyProtection="1">
      <alignment horizontal="center" vertical="center" wrapText="1"/>
      <protection hidden="1"/>
    </xf>
    <xf numFmtId="0" fontId="40" fillId="49" borderId="19" xfId="0" applyFont="1" applyFill="1" applyBorder="1" applyAlignment="1" applyProtection="1">
      <alignment horizontal="center" vertical="center" wrapText="1"/>
      <protection hidden="1"/>
    </xf>
    <xf numFmtId="0" fontId="40" fillId="49" borderId="38" xfId="0" applyFont="1" applyFill="1" applyBorder="1" applyAlignment="1" applyProtection="1">
      <alignment horizontal="center" vertical="center" wrapText="1"/>
      <protection hidden="1"/>
    </xf>
    <xf numFmtId="0" fontId="108" fillId="33" borderId="12" xfId="0" applyFont="1" applyFill="1" applyBorder="1" applyAlignment="1" applyProtection="1">
      <alignment horizontal="left"/>
      <protection/>
    </xf>
    <xf numFmtId="0" fontId="108" fillId="33" borderId="48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 hidden="1" locked="0"/>
    </xf>
    <xf numFmtId="0" fontId="9" fillId="0" borderId="10" xfId="0" applyFont="1" applyBorder="1" applyAlignment="1" applyProtection="1">
      <alignment horizontal="left"/>
      <protection hidden="1" locked="0"/>
    </xf>
    <xf numFmtId="0" fontId="105" fillId="0" borderId="30" xfId="0" applyFont="1" applyBorder="1" applyAlignment="1" applyProtection="1">
      <alignment horizontal="center"/>
      <protection hidden="1" locked="0"/>
    </xf>
    <xf numFmtId="0" fontId="105" fillId="0" borderId="54" xfId="0" applyFont="1" applyBorder="1" applyAlignment="1" applyProtection="1">
      <alignment horizontal="center"/>
      <protection hidden="1" locked="0"/>
    </xf>
    <xf numFmtId="0" fontId="105" fillId="0" borderId="36" xfId="0" applyFont="1" applyBorder="1" applyAlignment="1" applyProtection="1">
      <alignment horizontal="center"/>
      <protection hidden="1" locked="0"/>
    </xf>
    <xf numFmtId="0" fontId="40" fillId="49" borderId="44" xfId="0" applyFont="1" applyFill="1" applyBorder="1" applyAlignment="1" applyProtection="1">
      <alignment horizontal="center"/>
      <protection/>
    </xf>
    <xf numFmtId="0" fontId="40" fillId="49" borderId="56" xfId="0" applyFont="1" applyFill="1" applyBorder="1" applyAlignment="1" applyProtection="1">
      <alignment horizontal="center"/>
      <protection/>
    </xf>
    <xf numFmtId="0" fontId="40" fillId="49" borderId="57" xfId="0" applyFont="1" applyFill="1" applyBorder="1" applyAlignment="1" applyProtection="1">
      <alignment horizontal="center"/>
      <protection/>
    </xf>
    <xf numFmtId="0" fontId="11" fillId="49" borderId="35" xfId="0" applyFont="1" applyFill="1" applyBorder="1" applyAlignment="1" applyProtection="1">
      <alignment horizontal="center"/>
      <protection hidden="1" locked="0"/>
    </xf>
    <xf numFmtId="0" fontId="11" fillId="49" borderId="49" xfId="0" applyFont="1" applyFill="1" applyBorder="1" applyAlignment="1" applyProtection="1">
      <alignment horizontal="center"/>
      <protection hidden="1" locked="0"/>
    </xf>
    <xf numFmtId="0" fontId="11" fillId="49" borderId="14" xfId="0" applyFont="1" applyFill="1" applyBorder="1" applyAlignment="1" applyProtection="1">
      <alignment horizontal="center"/>
      <protection hidden="1" locked="0"/>
    </xf>
    <xf numFmtId="0" fontId="105" fillId="0" borderId="76" xfId="0" applyFont="1" applyBorder="1" applyAlignment="1" applyProtection="1">
      <alignment horizontal="center" wrapText="1"/>
      <protection hidden="1" locked="0"/>
    </xf>
    <xf numFmtId="0" fontId="105" fillId="0" borderId="22" xfId="0" applyFont="1" applyBorder="1" applyAlignment="1" applyProtection="1">
      <alignment horizont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34" fillId="0" borderId="0" xfId="0" applyFont="1" applyAlignment="1" applyProtection="1">
      <alignment horizontal="left"/>
      <protection hidden="1" locked="0"/>
    </xf>
    <xf numFmtId="1" fontId="121" fillId="35" borderId="82" xfId="0" applyNumberFormat="1" applyFont="1" applyFill="1" applyBorder="1" applyAlignment="1" applyProtection="1">
      <alignment horizontal="center" vertical="center"/>
      <protection hidden="1" locked="0"/>
    </xf>
    <xf numFmtId="1" fontId="121" fillId="35" borderId="83" xfId="0" applyNumberFormat="1" applyFont="1" applyFill="1" applyBorder="1" applyAlignment="1" applyProtection="1">
      <alignment horizontal="center" vertical="center"/>
      <protection hidden="1" locked="0"/>
    </xf>
    <xf numFmtId="1" fontId="121" fillId="35" borderId="4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left"/>
      <protection hidden="1" locked="0"/>
    </xf>
    <xf numFmtId="0" fontId="105" fillId="42" borderId="10" xfId="0" applyFont="1" applyFill="1" applyBorder="1" applyAlignment="1" applyProtection="1">
      <alignment horizontal="center" vertical="center" wrapText="1"/>
      <protection hidden="1" locked="0"/>
    </xf>
    <xf numFmtId="0" fontId="8" fillId="42" borderId="10" xfId="0" applyFont="1" applyFill="1" applyBorder="1" applyAlignment="1" applyProtection="1">
      <alignment horizontal="center" wrapText="1"/>
      <protection hidden="1" locked="0"/>
    </xf>
    <xf numFmtId="0" fontId="105" fillId="0" borderId="75" xfId="0" applyFont="1" applyBorder="1" applyAlignment="1">
      <alignment horizontal="center" vertical="center" wrapText="1"/>
    </xf>
    <xf numFmtId="0" fontId="105" fillId="0" borderId="41" xfId="0" applyFont="1" applyBorder="1" applyAlignment="1">
      <alignment horizontal="center" vertical="center" wrapText="1"/>
    </xf>
    <xf numFmtId="0" fontId="113" fillId="45" borderId="10" xfId="0" applyFont="1" applyFill="1" applyBorder="1" applyAlignment="1" applyProtection="1">
      <alignment horizontal="center"/>
      <protection hidden="1" locked="0"/>
    </xf>
    <xf numFmtId="0" fontId="113" fillId="45" borderId="82" xfId="0" applyFont="1" applyFill="1" applyBorder="1" applyAlignment="1" applyProtection="1">
      <alignment horizontal="center" vertical="center" wrapText="1"/>
      <protection hidden="1" locked="0"/>
    </xf>
    <xf numFmtId="0" fontId="113" fillId="45" borderId="43" xfId="0" applyFont="1" applyFill="1" applyBorder="1" applyAlignment="1" applyProtection="1">
      <alignment horizontal="center" vertical="center" wrapText="1"/>
      <protection hidden="1" locked="0"/>
    </xf>
    <xf numFmtId="0" fontId="10" fillId="49" borderId="44" xfId="0" applyFont="1" applyFill="1" applyBorder="1" applyAlignment="1" applyProtection="1">
      <alignment horizontal="center"/>
      <protection/>
    </xf>
    <xf numFmtId="0" fontId="10" fillId="49" borderId="56" xfId="0" applyFont="1" applyFill="1" applyBorder="1" applyAlignment="1" applyProtection="1">
      <alignment horizontal="center"/>
      <protection/>
    </xf>
    <xf numFmtId="0" fontId="10" fillId="49" borderId="57" xfId="0" applyFont="1" applyFill="1" applyBorder="1" applyAlignment="1" applyProtection="1">
      <alignment horizontal="center"/>
      <protection/>
    </xf>
    <xf numFmtId="0" fontId="108" fillId="33" borderId="42" xfId="0" applyFont="1" applyFill="1" applyBorder="1" applyAlignment="1" applyProtection="1">
      <alignment horizontal="center" vertical="center"/>
      <protection/>
    </xf>
    <xf numFmtId="0" fontId="108" fillId="33" borderId="55" xfId="0" applyFont="1" applyFill="1" applyBorder="1" applyAlignment="1" applyProtection="1">
      <alignment horizontal="center" vertical="center"/>
      <protection/>
    </xf>
    <xf numFmtId="0" fontId="10" fillId="49" borderId="77" xfId="0" applyFont="1" applyFill="1" applyBorder="1" applyAlignment="1" applyProtection="1">
      <alignment horizontal="center"/>
      <protection/>
    </xf>
    <xf numFmtId="0" fontId="10" fillId="49" borderId="84" xfId="0" applyFont="1" applyFill="1" applyBorder="1" applyAlignment="1" applyProtection="1">
      <alignment horizontal="center"/>
      <protection/>
    </xf>
    <xf numFmtId="0" fontId="10" fillId="49" borderId="45" xfId="0" applyFont="1" applyFill="1" applyBorder="1" applyAlignment="1" applyProtection="1">
      <alignment horizontal="center"/>
      <protection/>
    </xf>
    <xf numFmtId="0" fontId="108" fillId="33" borderId="11" xfId="0" applyFont="1" applyFill="1" applyBorder="1" applyAlignment="1" applyProtection="1">
      <alignment horizontal="center"/>
      <protection/>
    </xf>
    <xf numFmtId="0" fontId="108" fillId="33" borderId="10" xfId="0" applyFont="1" applyFill="1" applyBorder="1" applyAlignment="1" applyProtection="1">
      <alignment horizontal="center"/>
      <protection/>
    </xf>
    <xf numFmtId="0" fontId="10" fillId="49" borderId="30" xfId="0" applyFont="1" applyFill="1" applyBorder="1" applyAlignment="1" applyProtection="1">
      <alignment horizontal="center"/>
      <protection/>
    </xf>
    <xf numFmtId="0" fontId="10" fillId="49" borderId="36" xfId="0" applyFont="1" applyFill="1" applyBorder="1" applyAlignment="1" applyProtection="1">
      <alignment horizontal="center"/>
      <protection/>
    </xf>
    <xf numFmtId="0" fontId="123" fillId="33" borderId="24" xfId="0" applyFont="1" applyFill="1" applyBorder="1" applyAlignment="1" applyProtection="1">
      <alignment horizontal="center" vertical="center"/>
      <protection/>
    </xf>
    <xf numFmtId="0" fontId="123" fillId="33" borderId="34" xfId="0" applyFont="1" applyFill="1" applyBorder="1" applyAlignment="1" applyProtection="1">
      <alignment horizontal="center" vertical="center"/>
      <protection/>
    </xf>
    <xf numFmtId="0" fontId="123" fillId="33" borderId="37" xfId="0" applyFont="1" applyFill="1" applyBorder="1" applyAlignment="1" applyProtection="1">
      <alignment horizontal="center" vertical="center"/>
      <protection/>
    </xf>
    <xf numFmtId="0" fontId="108" fillId="33" borderId="55" xfId="0" applyFont="1" applyFill="1" applyBorder="1" applyAlignment="1" applyProtection="1">
      <alignment horizontal="left"/>
      <protection/>
    </xf>
    <xf numFmtId="0" fontId="108" fillId="33" borderId="52" xfId="0" applyFont="1" applyFill="1" applyBorder="1" applyAlignment="1" applyProtection="1">
      <alignment horizontal="center"/>
      <protection/>
    </xf>
    <xf numFmtId="0" fontId="108" fillId="33" borderId="49" xfId="0" applyFont="1" applyFill="1" applyBorder="1" applyAlignment="1" applyProtection="1">
      <alignment horizontal="center"/>
      <protection/>
    </xf>
    <xf numFmtId="0" fontId="108" fillId="33" borderId="14" xfId="0" applyFont="1" applyFill="1" applyBorder="1" applyAlignment="1" applyProtection="1">
      <alignment horizontal="center"/>
      <protection/>
    </xf>
    <xf numFmtId="0" fontId="10" fillId="33" borderId="46" xfId="0" applyNumberFormat="1" applyFont="1" applyFill="1" applyBorder="1" applyAlignment="1" applyProtection="1">
      <alignment horizontal="center" vertical="center"/>
      <protection/>
    </xf>
    <xf numFmtId="0" fontId="10" fillId="33" borderId="60" xfId="0" applyNumberFormat="1" applyFont="1" applyFill="1" applyBorder="1" applyAlignment="1" applyProtection="1">
      <alignment horizontal="center" vertical="center"/>
      <protection/>
    </xf>
    <xf numFmtId="0" fontId="10" fillId="33" borderId="20" xfId="0" applyNumberFormat="1" applyFont="1" applyFill="1" applyBorder="1" applyAlignment="1" applyProtection="1">
      <alignment horizontal="center" vertical="center"/>
      <protection/>
    </xf>
    <xf numFmtId="0" fontId="108" fillId="33" borderId="53" xfId="0" applyFont="1" applyFill="1" applyBorder="1" applyAlignment="1" applyProtection="1">
      <alignment horizontal="center"/>
      <protection/>
    </xf>
    <xf numFmtId="0" fontId="108" fillId="33" borderId="65" xfId="0" applyFont="1" applyFill="1" applyBorder="1" applyAlignment="1" applyProtection="1">
      <alignment horizontal="center"/>
      <protection/>
    </xf>
    <xf numFmtId="0" fontId="108" fillId="33" borderId="66" xfId="0" applyFont="1" applyFill="1" applyBorder="1" applyAlignment="1" applyProtection="1">
      <alignment horizontal="center"/>
      <protection/>
    </xf>
    <xf numFmtId="0" fontId="108" fillId="33" borderId="12" xfId="0" applyFont="1" applyFill="1" applyBorder="1" applyAlignment="1" applyProtection="1">
      <alignment horizontal="center"/>
      <protection/>
    </xf>
    <xf numFmtId="0" fontId="108" fillId="33" borderId="48" xfId="0" applyFont="1" applyFill="1" applyBorder="1" applyAlignment="1" applyProtection="1">
      <alignment horizontal="center"/>
      <protection/>
    </xf>
    <xf numFmtId="0" fontId="10" fillId="49" borderId="54" xfId="0" applyFont="1" applyFill="1" applyBorder="1" applyAlignment="1" applyProtection="1">
      <alignment horizontal="center"/>
      <protection/>
    </xf>
    <xf numFmtId="0" fontId="108" fillId="33" borderId="42" xfId="0" applyFont="1" applyFill="1" applyBorder="1" applyAlignment="1" applyProtection="1">
      <alignment horizontal="left"/>
      <protection/>
    </xf>
    <xf numFmtId="0" fontId="108" fillId="33" borderId="52" xfId="0" applyFont="1" applyFill="1" applyBorder="1" applyAlignment="1" applyProtection="1">
      <alignment horizontal="left"/>
      <protection/>
    </xf>
    <xf numFmtId="0" fontId="108" fillId="33" borderId="49" xfId="0" applyFont="1" applyFill="1" applyBorder="1" applyAlignment="1" applyProtection="1">
      <alignment horizontal="left"/>
      <protection/>
    </xf>
    <xf numFmtId="0" fontId="108" fillId="33" borderId="14" xfId="0" applyFont="1" applyFill="1" applyBorder="1" applyAlignment="1" applyProtection="1">
      <alignment horizontal="left"/>
      <protection/>
    </xf>
    <xf numFmtId="0" fontId="34" fillId="33" borderId="51" xfId="0" applyFont="1" applyFill="1" applyBorder="1" applyAlignment="1" applyProtection="1">
      <alignment horizontal="center"/>
      <protection/>
    </xf>
    <xf numFmtId="0" fontId="34" fillId="33" borderId="61" xfId="0" applyFont="1" applyFill="1" applyBorder="1" applyAlignment="1" applyProtection="1">
      <alignment horizontal="center"/>
      <protection/>
    </xf>
    <xf numFmtId="0" fontId="34" fillId="33" borderId="27" xfId="0" applyFont="1" applyFill="1" applyBorder="1" applyAlignment="1" applyProtection="1">
      <alignment horizontal="center"/>
      <protection/>
    </xf>
    <xf numFmtId="0" fontId="10" fillId="33" borderId="46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center" vertical="center"/>
      <protection/>
    </xf>
    <xf numFmtId="0" fontId="108" fillId="33" borderId="53" xfId="0" applyFont="1" applyFill="1" applyBorder="1" applyAlignment="1" applyProtection="1">
      <alignment horizontal="left"/>
      <protection/>
    </xf>
    <xf numFmtId="0" fontId="108" fillId="33" borderId="65" xfId="0" applyFont="1" applyFill="1" applyBorder="1" applyAlignment="1" applyProtection="1">
      <alignment horizontal="left"/>
      <protection/>
    </xf>
    <xf numFmtId="0" fontId="108" fillId="33" borderId="66" xfId="0" applyFont="1" applyFill="1" applyBorder="1" applyAlignment="1" applyProtection="1">
      <alignment horizontal="left"/>
      <protection/>
    </xf>
    <xf numFmtId="0" fontId="34" fillId="33" borderId="42" xfId="0" applyFont="1" applyFill="1" applyBorder="1" applyAlignment="1" applyProtection="1">
      <alignment horizontal="center"/>
      <protection/>
    </xf>
    <xf numFmtId="0" fontId="34" fillId="33" borderId="55" xfId="0" applyFont="1" applyFill="1" applyBorder="1" applyAlignment="1" applyProtection="1">
      <alignment horizontal="center"/>
      <protection/>
    </xf>
    <xf numFmtId="0" fontId="34" fillId="33" borderId="13" xfId="0" applyFont="1" applyFill="1" applyBorder="1" applyAlignment="1" applyProtection="1">
      <alignment horizontal="center"/>
      <protection/>
    </xf>
    <xf numFmtId="0" fontId="34" fillId="33" borderId="77" xfId="0" applyFont="1" applyFill="1" applyBorder="1" applyAlignment="1" applyProtection="1">
      <alignment horizontal="center" vertical="center" wrapText="1"/>
      <protection/>
    </xf>
    <xf numFmtId="0" fontId="34" fillId="33" borderId="84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21" fillId="33" borderId="24" xfId="0" applyFont="1" applyFill="1" applyBorder="1" applyAlignment="1" applyProtection="1">
      <alignment horizontal="center" vertical="center"/>
      <protection/>
    </xf>
    <xf numFmtId="0" fontId="121" fillId="33" borderId="34" xfId="0" applyFont="1" applyFill="1" applyBorder="1" applyAlignment="1" applyProtection="1">
      <alignment horizontal="center" vertical="center"/>
      <protection/>
    </xf>
    <xf numFmtId="0" fontId="121" fillId="33" borderId="37" xfId="0" applyFont="1" applyFill="1" applyBorder="1" applyAlignment="1" applyProtection="1">
      <alignment horizontal="center" vertical="center"/>
      <protection/>
    </xf>
    <xf numFmtId="0" fontId="108" fillId="33" borderId="42" xfId="0" applyFont="1" applyFill="1" applyBorder="1" applyAlignment="1" applyProtection="1">
      <alignment horizontal="center"/>
      <protection/>
    </xf>
    <xf numFmtId="0" fontId="108" fillId="33" borderId="55" xfId="0" applyFont="1" applyFill="1" applyBorder="1" applyAlignment="1" applyProtection="1">
      <alignment horizontal="center"/>
      <protection/>
    </xf>
    <xf numFmtId="0" fontId="108" fillId="33" borderId="85" xfId="0" applyFont="1" applyFill="1" applyBorder="1" applyAlignment="1" applyProtection="1">
      <alignment horizontal="center"/>
      <protection/>
    </xf>
    <xf numFmtId="0" fontId="108" fillId="33" borderId="35" xfId="0" applyFont="1" applyFill="1" applyBorder="1" applyAlignment="1" applyProtection="1">
      <alignment horizontal="center"/>
      <protection/>
    </xf>
    <xf numFmtId="0" fontId="108" fillId="33" borderId="74" xfId="0" applyFont="1" applyFill="1" applyBorder="1" applyAlignment="1" applyProtection="1">
      <alignment horizontal="center"/>
      <protection/>
    </xf>
    <xf numFmtId="0" fontId="108" fillId="33" borderId="78" xfId="0" applyFont="1" applyFill="1" applyBorder="1" applyAlignment="1" applyProtection="1">
      <alignment horizontal="left"/>
      <protection/>
    </xf>
    <xf numFmtId="0" fontId="108" fillId="33" borderId="86" xfId="0" applyFont="1" applyFill="1" applyBorder="1" applyAlignment="1" applyProtection="1">
      <alignment horizontal="left"/>
      <protection/>
    </xf>
    <xf numFmtId="1" fontId="118" fillId="33" borderId="45" xfId="0" applyNumberFormat="1" applyFont="1" applyFill="1" applyBorder="1" applyAlignment="1" applyProtection="1">
      <alignment horizontal="center" vertical="center"/>
      <protection/>
    </xf>
    <xf numFmtId="0" fontId="118" fillId="33" borderId="60" xfId="0" applyFont="1" applyFill="1" applyBorder="1" applyAlignment="1" applyProtection="1">
      <alignment horizontal="center" vertical="center"/>
      <protection/>
    </xf>
    <xf numFmtId="0" fontId="118" fillId="33" borderId="2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108" fillId="33" borderId="0" xfId="0" applyFont="1" applyFill="1" applyAlignment="1" applyProtection="1">
      <alignment horizontal="center"/>
      <protection/>
    </xf>
    <xf numFmtId="0" fontId="34" fillId="33" borderId="62" xfId="0" applyFont="1" applyFill="1" applyBorder="1" applyAlignment="1" applyProtection="1">
      <alignment horizontal="center"/>
      <protection/>
    </xf>
    <xf numFmtId="0" fontId="0" fillId="42" borderId="10" xfId="0" applyFont="1" applyFill="1" applyBorder="1" applyAlignment="1" applyProtection="1">
      <alignment horizontal="center" vertical="center" wrapText="1"/>
      <protection hidden="1" locked="0"/>
    </xf>
    <xf numFmtId="0" fontId="114" fillId="45" borderId="82" xfId="0" applyFont="1" applyFill="1" applyBorder="1" applyAlignment="1" applyProtection="1">
      <alignment horizontal="center" vertical="center" wrapText="1"/>
      <protection hidden="1" locked="0"/>
    </xf>
    <xf numFmtId="0" fontId="114" fillId="45" borderId="43" xfId="0" applyFont="1" applyFill="1" applyBorder="1" applyAlignment="1" applyProtection="1">
      <alignment horizontal="center" vertical="center" wrapText="1"/>
      <protection hidden="1" locked="0"/>
    </xf>
    <xf numFmtId="0" fontId="114" fillId="45" borderId="10" xfId="0" applyFont="1" applyFill="1" applyBorder="1" applyAlignment="1" applyProtection="1">
      <alignment horizontal="center"/>
      <protection hidden="1" locked="0"/>
    </xf>
    <xf numFmtId="0" fontId="105" fillId="0" borderId="10" xfId="0" applyFont="1" applyBorder="1" applyAlignment="1" applyProtection="1">
      <alignment horizontal="center"/>
      <protection hidden="1"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9"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7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  <dxf>
      <fill>
        <patternFill>
          <fgColor theme="8" tint="-0.4999699890613556"/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106</xdr:row>
      <xdr:rowOff>209550</xdr:rowOff>
    </xdr:from>
    <xdr:to>
      <xdr:col>11</xdr:col>
      <xdr:colOff>657225</xdr:colOff>
      <xdr:row>111</xdr:row>
      <xdr:rowOff>171450</xdr:rowOff>
    </xdr:to>
    <xdr:sp>
      <xdr:nvSpPr>
        <xdr:cNvPr id="1" name="Callout 1 1"/>
        <xdr:cNvSpPr>
          <a:spLocks/>
        </xdr:cNvSpPr>
      </xdr:nvSpPr>
      <xdr:spPr>
        <a:xfrm>
          <a:off x="14220825" y="22479000"/>
          <a:ext cx="3486150" cy="1047750"/>
        </a:xfrm>
        <a:prstGeom prst="borderCallout1">
          <a:avLst>
            <a:gd name="adj1" fmla="val -161851"/>
            <a:gd name="adj2" fmla="val 20837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'SI' se </a:t>
          </a:r>
          <a:r>
            <a:rPr lang="en-US" cap="none" sz="1100" b="1" i="0" u="none" baseline="0">
              <a:solidFill>
                <a:srgbClr val="000000"/>
              </a:solidFill>
            </a:rPr>
            <a:t>la componente ambientale è pertinente con l'attività dell'Azienda in riferimento alla Tab. E2.</a:t>
          </a:r>
        </a:p>
      </xdr:txBody>
    </xdr:sp>
    <xdr:clientData/>
  </xdr:twoCellAnchor>
  <xdr:twoCellAnchor>
    <xdr:from>
      <xdr:col>8</xdr:col>
      <xdr:colOff>0</xdr:colOff>
      <xdr:row>113</xdr:row>
      <xdr:rowOff>85725</xdr:rowOff>
    </xdr:from>
    <xdr:to>
      <xdr:col>11</xdr:col>
      <xdr:colOff>600075</xdr:colOff>
      <xdr:row>118</xdr:row>
      <xdr:rowOff>304800</xdr:rowOff>
    </xdr:to>
    <xdr:sp>
      <xdr:nvSpPr>
        <xdr:cNvPr id="2" name="Callout 1 2"/>
        <xdr:cNvSpPr>
          <a:spLocks/>
        </xdr:cNvSpPr>
      </xdr:nvSpPr>
      <xdr:spPr>
        <a:xfrm>
          <a:off x="14192250" y="23898225"/>
          <a:ext cx="3457575" cy="1514475"/>
        </a:xfrm>
        <a:prstGeom prst="borderCallout1">
          <a:avLst>
            <a:gd name="adj1" fmla="val -82000"/>
            <a:gd name="adj2" fmla="val 4189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il</a:t>
          </a:r>
          <a:r>
            <a:rPr lang="en-US" cap="none" sz="1100" b="1" i="0" u="none" baseline="0">
              <a:solidFill>
                <a:srgbClr val="000000"/>
              </a:solidFill>
            </a:rPr>
            <a:t> numero corrispondente alla casisistica individuata dalla Tab:
</a:t>
          </a:r>
          <a:r>
            <a:rPr lang="en-US" cap="none" sz="1100" b="1" i="0" u="none" baseline="0">
              <a:solidFill>
                <a:srgbClr val="000000"/>
              </a:solidFill>
            </a:rPr>
            <a:t>1 - impianto svolgente attività di cui ai punti 2.6 o 6.7;
</a:t>
          </a:r>
          <a:r>
            <a:rPr lang="en-US" cap="none" sz="1100" b="1" i="0" u="none" baseline="0">
              <a:solidFill>
                <a:srgbClr val="000000"/>
              </a:solidFill>
            </a:rPr>
            <a:t>2 - impianti (ad eccezione di quelli di cui ai punti 2.6 o 6.7) collocati in area di Classe VI;
</a:t>
          </a:r>
          <a:r>
            <a:rPr lang="en-US" cap="none" sz="1100" b="1" i="0" u="none" baseline="0">
              <a:solidFill>
                <a:srgbClr val="000000"/>
              </a:solidFill>
            </a:rPr>
            <a:t>3 - impianti non inclusi in una delle voci sopra riportate
</a:t>
          </a:r>
        </a:p>
      </xdr:txBody>
    </xdr:sp>
    <xdr:clientData/>
  </xdr:twoCellAnchor>
  <xdr:twoCellAnchor>
    <xdr:from>
      <xdr:col>8</xdr:col>
      <xdr:colOff>485775</xdr:colOff>
      <xdr:row>25</xdr:row>
      <xdr:rowOff>104775</xdr:rowOff>
    </xdr:from>
    <xdr:to>
      <xdr:col>13</xdr:col>
      <xdr:colOff>704850</xdr:colOff>
      <xdr:row>31</xdr:row>
      <xdr:rowOff>114300</xdr:rowOff>
    </xdr:to>
    <xdr:sp>
      <xdr:nvSpPr>
        <xdr:cNvPr id="3" name="Callout 1 3"/>
        <xdr:cNvSpPr>
          <a:spLocks/>
        </xdr:cNvSpPr>
      </xdr:nvSpPr>
      <xdr:spPr>
        <a:xfrm>
          <a:off x="14678025" y="5505450"/>
          <a:ext cx="4752975" cy="1247775"/>
        </a:xfrm>
        <a:prstGeom prst="borderCallout1">
          <a:avLst>
            <a:gd name="adj1" fmla="val -70921"/>
            <a:gd name="adj2" fmla="val -9578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selezionare il</a:t>
          </a:r>
          <a:r>
            <a:rPr lang="en-US" cap="none" sz="1100" b="1" i="0" u="none" baseline="0">
              <a:solidFill>
                <a:srgbClr val="000000"/>
              </a:solidFill>
            </a:rPr>
            <a:t> numero corrispondente alla casisistica individuata dalla Tab:
</a:t>
          </a:r>
          <a:r>
            <a:rPr lang="en-US" cap="none" sz="1100" b="1" i="0" u="none" baseline="0">
              <a:solidFill>
                <a:srgbClr val="000000"/>
              </a:solidFill>
            </a:rPr>
            <a:t>1 - impianto con attività ricadente nel d.lgs 334/99 e smi ;
</a:t>
          </a:r>
          <a:r>
            <a:rPr lang="en-US" cap="none" sz="1100" b="1" i="0" u="none" baseline="0">
              <a:solidFill>
                <a:srgbClr val="000000"/>
              </a:solidFill>
            </a:rPr>
            <a:t>2 - grande e media impresa
</a:t>
          </a:r>
          <a:r>
            <a:rPr lang="en-US" cap="none" sz="1100" b="1" i="0" u="none" baseline="0">
              <a:solidFill>
                <a:srgbClr val="000000"/>
              </a:solidFill>
            </a:rPr>
            <a:t>3 - micro e piccola impresa
</a:t>
          </a:r>
        </a:p>
      </xdr:txBody>
    </xdr:sp>
    <xdr:clientData/>
  </xdr:twoCellAnchor>
  <xdr:twoCellAnchor>
    <xdr:from>
      <xdr:col>5</xdr:col>
      <xdr:colOff>1047750</xdr:colOff>
      <xdr:row>35</xdr:row>
      <xdr:rowOff>57150</xdr:rowOff>
    </xdr:from>
    <xdr:to>
      <xdr:col>10</xdr:col>
      <xdr:colOff>38100</xdr:colOff>
      <xdr:row>38</xdr:row>
      <xdr:rowOff>9525</xdr:rowOff>
    </xdr:to>
    <xdr:sp>
      <xdr:nvSpPr>
        <xdr:cNvPr id="4" name="Callout 1 4"/>
        <xdr:cNvSpPr>
          <a:spLocks/>
        </xdr:cNvSpPr>
      </xdr:nvSpPr>
      <xdr:spPr>
        <a:xfrm>
          <a:off x="11496675" y="7334250"/>
          <a:ext cx="4752975" cy="628650"/>
        </a:xfrm>
        <a:prstGeom prst="borderCallout1">
          <a:avLst>
            <a:gd name="adj1" fmla="val -120439"/>
            <a:gd name="adj2" fmla="val 23995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il</a:t>
          </a:r>
          <a:r>
            <a:rPr lang="en-US" cap="none" sz="1100" b="1" i="0" u="none" baseline="0">
              <a:solidFill>
                <a:srgbClr val="000000"/>
              </a:solidFill>
            </a:rPr>
            <a:t> numero di emissioni con n. di inquinanti compreso nel range indicato
</a:t>
          </a:r>
        </a:p>
      </xdr:txBody>
    </xdr:sp>
    <xdr:clientData/>
  </xdr:twoCellAnchor>
  <xdr:twoCellAnchor>
    <xdr:from>
      <xdr:col>6</xdr:col>
      <xdr:colOff>971550</xdr:colOff>
      <xdr:row>38</xdr:row>
      <xdr:rowOff>161925</xdr:rowOff>
    </xdr:from>
    <xdr:to>
      <xdr:col>11</xdr:col>
      <xdr:colOff>447675</xdr:colOff>
      <xdr:row>43</xdr:row>
      <xdr:rowOff>161925</xdr:rowOff>
    </xdr:to>
    <xdr:sp>
      <xdr:nvSpPr>
        <xdr:cNvPr id="5" name="Callout 1 5"/>
        <xdr:cNvSpPr>
          <a:spLocks/>
        </xdr:cNvSpPr>
      </xdr:nvSpPr>
      <xdr:spPr>
        <a:xfrm>
          <a:off x="12734925" y="8115300"/>
          <a:ext cx="4762500" cy="914400"/>
        </a:xfrm>
        <a:prstGeom prst="borderCallout1">
          <a:avLst>
            <a:gd name="adj1" fmla="val -95861"/>
            <a:gd name="adj2" fmla="val -48240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sulla base della 'tabella B' sarà automaticamente indivividuata la tariffa per ogni classe di emissione, dall'incrocio dell'informazione relativa a "numero di inquinanti" e "numero di emissioni in atmosfera"
</a:t>
          </a:r>
        </a:p>
      </xdr:txBody>
    </xdr:sp>
    <xdr:clientData/>
  </xdr:twoCellAnchor>
  <xdr:twoCellAnchor>
    <xdr:from>
      <xdr:col>6</xdr:col>
      <xdr:colOff>971550</xdr:colOff>
      <xdr:row>71</xdr:row>
      <xdr:rowOff>19050</xdr:rowOff>
    </xdr:from>
    <xdr:to>
      <xdr:col>11</xdr:col>
      <xdr:colOff>447675</xdr:colOff>
      <xdr:row>74</xdr:row>
      <xdr:rowOff>57150</xdr:rowOff>
    </xdr:to>
    <xdr:sp>
      <xdr:nvSpPr>
        <xdr:cNvPr id="6" name="Callout 1 6"/>
        <xdr:cNvSpPr>
          <a:spLocks/>
        </xdr:cNvSpPr>
      </xdr:nvSpPr>
      <xdr:spPr>
        <a:xfrm>
          <a:off x="12734925" y="14878050"/>
          <a:ext cx="4762500" cy="609600"/>
        </a:xfrm>
        <a:prstGeom prst="borderCallout1">
          <a:avLst>
            <a:gd name="adj1" fmla="val -160824"/>
            <a:gd name="adj2" fmla="val 111032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</a:t>
          </a:r>
          <a:r>
            <a:rPr lang="en-US" cap="none" sz="1100" b="1" i="0" u="none" baseline="0">
              <a:solidFill>
                <a:srgbClr val="000000"/>
              </a:solidFill>
            </a:rPr>
            <a:t>le quantità (medie giornaliere) di rifiuti sottoposte ad operazioni di recupero R o smaltimento D, espresse in tonn/giorno (paragrafo 4 della dgr)
</a:t>
          </a:r>
        </a:p>
      </xdr:txBody>
    </xdr:sp>
    <xdr:clientData/>
  </xdr:twoCellAnchor>
  <xdr:twoCellAnchor>
    <xdr:from>
      <xdr:col>7</xdr:col>
      <xdr:colOff>390525</xdr:colOff>
      <xdr:row>75</xdr:row>
      <xdr:rowOff>180975</xdr:rowOff>
    </xdr:from>
    <xdr:to>
      <xdr:col>12</xdr:col>
      <xdr:colOff>533400</xdr:colOff>
      <xdr:row>78</xdr:row>
      <xdr:rowOff>76200</xdr:rowOff>
    </xdr:to>
    <xdr:sp>
      <xdr:nvSpPr>
        <xdr:cNvPr id="7" name="Callout 1 7"/>
        <xdr:cNvSpPr>
          <a:spLocks/>
        </xdr:cNvSpPr>
      </xdr:nvSpPr>
      <xdr:spPr>
        <a:xfrm>
          <a:off x="13658850" y="15801975"/>
          <a:ext cx="4762500" cy="581025"/>
        </a:xfrm>
        <a:prstGeom prst="borderCallout1">
          <a:avLst>
            <a:gd name="adj1" fmla="val -123324"/>
            <a:gd name="adj2" fmla="val 14592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SOLO PER LE DISCARICHE: inserire </a:t>
          </a:r>
          <a:r>
            <a:rPr lang="en-US" cap="none" sz="1100" b="1" i="0" u="none" baseline="0">
              <a:solidFill>
                <a:srgbClr val="000000"/>
              </a:solidFill>
            </a:rPr>
            <a:t>il valore della capacità autorizzata (mc) autorizzato
</a:t>
          </a:r>
        </a:p>
      </xdr:txBody>
    </xdr:sp>
    <xdr:clientData/>
  </xdr:twoCellAnchor>
  <xdr:twoCellAnchor>
    <xdr:from>
      <xdr:col>7</xdr:col>
      <xdr:colOff>781050</xdr:colOff>
      <xdr:row>123</xdr:row>
      <xdr:rowOff>180975</xdr:rowOff>
    </xdr:from>
    <xdr:to>
      <xdr:col>10</xdr:col>
      <xdr:colOff>552450</xdr:colOff>
      <xdr:row>128</xdr:row>
      <xdr:rowOff>104775</xdr:rowOff>
    </xdr:to>
    <xdr:sp>
      <xdr:nvSpPr>
        <xdr:cNvPr id="8" name="Callout 1 8"/>
        <xdr:cNvSpPr>
          <a:spLocks/>
        </xdr:cNvSpPr>
      </xdr:nvSpPr>
      <xdr:spPr>
        <a:xfrm>
          <a:off x="14049375" y="26593800"/>
          <a:ext cx="2714625" cy="914400"/>
        </a:xfrm>
        <a:prstGeom prst="borderCallout1">
          <a:avLst>
            <a:gd name="adj1" fmla="val -129620"/>
            <a:gd name="adj2" fmla="val 34361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selzionare:
</a:t>
          </a:r>
          <a:r>
            <a:rPr lang="en-US" cap="none" sz="1100" b="1" i="0" u="none" baseline="0">
              <a:solidFill>
                <a:srgbClr val="000000"/>
              </a:solidFill>
            </a:rPr>
            <a:t>1 - se domanda presentata secondo le specifiche dell'AC
</a:t>
          </a:r>
          <a:r>
            <a:rPr lang="en-US" cap="none" sz="1100" b="1" i="0" u="none" baseline="0">
              <a:solidFill>
                <a:srgbClr val="000000"/>
              </a:solidFill>
            </a:rPr>
            <a:t>0</a:t>
          </a:r>
          <a:r>
            <a:rPr lang="en-US" cap="none" sz="1100" b="1" i="0" u="none" baseline="0">
              <a:solidFill>
                <a:srgbClr val="000000"/>
              </a:solidFill>
            </a:rPr>
            <a:t> - se NON conforme;</a:t>
          </a:r>
        </a:p>
      </xdr:txBody>
    </xdr:sp>
    <xdr:clientData/>
  </xdr:twoCellAnchor>
  <xdr:twoCellAnchor>
    <xdr:from>
      <xdr:col>8</xdr:col>
      <xdr:colOff>819150</xdr:colOff>
      <xdr:row>133</xdr:row>
      <xdr:rowOff>0</xdr:rowOff>
    </xdr:from>
    <xdr:to>
      <xdr:col>11</xdr:col>
      <xdr:colOff>685800</xdr:colOff>
      <xdr:row>134</xdr:row>
      <xdr:rowOff>123825</xdr:rowOff>
    </xdr:to>
    <xdr:sp>
      <xdr:nvSpPr>
        <xdr:cNvPr id="9" name="Callout 1 9"/>
        <xdr:cNvSpPr>
          <a:spLocks/>
        </xdr:cNvSpPr>
      </xdr:nvSpPr>
      <xdr:spPr>
        <a:xfrm>
          <a:off x="15011400" y="28422600"/>
          <a:ext cx="2724150" cy="314325"/>
        </a:xfrm>
        <a:prstGeom prst="borderCallout1">
          <a:avLst>
            <a:gd name="adj1" fmla="val -88273"/>
            <a:gd name="adj2" fmla="val 24648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selzionare</a:t>
          </a:r>
          <a:r>
            <a:rPr lang="en-US" cap="none" sz="1100" b="1" i="0" u="none" baseline="0">
              <a:solidFill>
                <a:srgbClr val="000000"/>
              </a:solidFill>
            </a:rPr>
            <a:t> il codice IPPC dell'attività principale</a:t>
          </a:r>
        </a:p>
      </xdr:txBody>
    </xdr:sp>
    <xdr:clientData/>
  </xdr:twoCellAnchor>
  <xdr:twoCellAnchor>
    <xdr:from>
      <xdr:col>4</xdr:col>
      <xdr:colOff>1457325</xdr:colOff>
      <xdr:row>152</xdr:row>
      <xdr:rowOff>133350</xdr:rowOff>
    </xdr:from>
    <xdr:to>
      <xdr:col>9</xdr:col>
      <xdr:colOff>85725</xdr:colOff>
      <xdr:row>160</xdr:row>
      <xdr:rowOff>38100</xdr:rowOff>
    </xdr:to>
    <xdr:sp>
      <xdr:nvSpPr>
        <xdr:cNvPr id="10" name="Callout 1 10"/>
        <xdr:cNvSpPr>
          <a:spLocks/>
        </xdr:cNvSpPr>
      </xdr:nvSpPr>
      <xdr:spPr>
        <a:xfrm>
          <a:off x="10048875" y="33070800"/>
          <a:ext cx="5410200" cy="1571625"/>
        </a:xfrm>
        <a:prstGeom prst="borderCallout1">
          <a:avLst>
            <a:gd name="adj1" fmla="val -187791"/>
            <a:gd name="adj2" fmla="val -174134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selezionare</a:t>
          </a:r>
          <a:r>
            <a:rPr lang="en-US" cap="none" sz="1100" b="1" i="0" u="none" baseline="0">
              <a:solidFill>
                <a:srgbClr val="000000"/>
              </a:solidFill>
            </a:rPr>
            <a:t> il codice corrispondente alla tipologia di certificazione adottata dall'azienda:
</a:t>
          </a:r>
          <a:r>
            <a:rPr lang="en-US" cap="none" sz="1100" b="1" i="0" u="none" baseline="0">
              <a:solidFill>
                <a:srgbClr val="000000"/>
              </a:solidFill>
            </a:rPr>
            <a:t>1 - ISO 14001;
</a:t>
          </a:r>
          <a:r>
            <a:rPr lang="en-US" cap="none" sz="1100" b="1" i="0" u="none" baseline="0">
              <a:solidFill>
                <a:srgbClr val="000000"/>
              </a:solidFill>
            </a:rPr>
            <a:t>2 - EMAS;
</a:t>
          </a:r>
          <a:r>
            <a:rPr lang="en-US" cap="none" sz="1100" b="1" i="0" u="none" baseline="0">
              <a:solidFill>
                <a:srgbClr val="000000"/>
              </a:solidFill>
            </a:rPr>
            <a:t>3 - EN 16001;
</a:t>
          </a:r>
          <a:r>
            <a:rPr lang="en-US" cap="none" sz="1100" b="1" i="0" u="none" baseline="0">
              <a:solidFill>
                <a:srgbClr val="000000"/>
              </a:solidFill>
            </a:rPr>
            <a:t>4 - </a:t>
          </a:r>
          <a:r>
            <a:rPr lang="en-US" cap="none" sz="1100" b="1" i="0" u="none" baseline="0">
              <a:solidFill>
                <a:srgbClr val="000000"/>
              </a:solidFill>
            </a:rPr>
            <a:t>ISO 14001 + EN 16001;
</a:t>
          </a:r>
          <a:r>
            <a:rPr lang="en-US" cap="none" sz="1100" b="1" i="0" u="none" baseline="0">
              <a:solidFill>
                <a:srgbClr val="000000"/>
              </a:solidFill>
            </a:rPr>
            <a:t>5 - EMAS + EN 16001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57150</xdr:colOff>
      <xdr:row>100</xdr:row>
      <xdr:rowOff>95250</xdr:rowOff>
    </xdr:from>
    <xdr:to>
      <xdr:col>11</xdr:col>
      <xdr:colOff>685800</xdr:colOff>
      <xdr:row>103</xdr:row>
      <xdr:rowOff>76200</xdr:rowOff>
    </xdr:to>
    <xdr:sp>
      <xdr:nvSpPr>
        <xdr:cNvPr id="11" name="Callout 1 11"/>
        <xdr:cNvSpPr>
          <a:spLocks/>
        </xdr:cNvSpPr>
      </xdr:nvSpPr>
      <xdr:spPr>
        <a:xfrm>
          <a:off x="14249400" y="21050250"/>
          <a:ext cx="3486150" cy="647700"/>
        </a:xfrm>
        <a:prstGeom prst="borderCallout1">
          <a:avLst>
            <a:gd name="adj1" fmla="val -225856"/>
            <a:gd name="adj2" fmla="val -8467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selezionare 'SI' se</a:t>
          </a:r>
          <a:r>
            <a:rPr lang="en-US" cap="none" sz="1100" b="1" i="0" u="none" baseline="0">
              <a:solidFill>
                <a:srgbClr val="000000"/>
              </a:solidFill>
            </a:rPr>
            <a:t> viene svolto il deposito temporaneo</a:t>
          </a:r>
        </a:p>
      </xdr:txBody>
    </xdr:sp>
    <xdr:clientData/>
  </xdr:twoCellAnchor>
  <xdr:twoCellAnchor>
    <xdr:from>
      <xdr:col>0</xdr:col>
      <xdr:colOff>38100</xdr:colOff>
      <xdr:row>15</xdr:row>
      <xdr:rowOff>57150</xdr:rowOff>
    </xdr:from>
    <xdr:to>
      <xdr:col>1</xdr:col>
      <xdr:colOff>438150</xdr:colOff>
      <xdr:row>18</xdr:row>
      <xdr:rowOff>9525</xdr:rowOff>
    </xdr:to>
    <xdr:sp>
      <xdr:nvSpPr>
        <xdr:cNvPr id="12" name="Rectangle 142"/>
        <xdr:cNvSpPr>
          <a:spLocks/>
        </xdr:cNvSpPr>
      </xdr:nvSpPr>
      <xdr:spPr>
        <a:xfrm>
          <a:off x="38100" y="3648075"/>
          <a:ext cx="232410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F6F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T</a:t>
          </a:r>
          <a:r>
            <a:rPr lang="en-US" cap="none" sz="2000" b="1" i="0" u="none" baseline="-25000">
              <a:solidFill>
                <a:srgbClr val="000000"/>
              </a:solidFill>
            </a:rPr>
            <a:t>F</a:t>
          </a:r>
          <a:r>
            <a:rPr lang="en-US" cap="none" sz="2000" b="1" i="0" u="none" baseline="0">
              <a:solidFill>
                <a:srgbClr val="000000"/>
              </a:solidFill>
            </a:rPr>
            <a:t> = T</a:t>
          </a:r>
          <a:r>
            <a:rPr lang="en-US" cap="none" sz="2000" b="1" i="0" u="none" baseline="-25000">
              <a:solidFill>
                <a:srgbClr val="000000"/>
              </a:solidFill>
            </a:rPr>
            <a:t>I</a:t>
          </a:r>
          <a:r>
            <a:rPr lang="en-US" cap="none" sz="2000" b="1" i="0" u="none" baseline="0">
              <a:solidFill>
                <a:srgbClr val="000000"/>
              </a:solidFill>
            </a:rPr>
            <a:t> *K1 </a:t>
          </a:r>
        </a:p>
      </xdr:txBody>
    </xdr:sp>
    <xdr:clientData/>
  </xdr:twoCellAnchor>
  <xdr:twoCellAnchor>
    <xdr:from>
      <xdr:col>2</xdr:col>
      <xdr:colOff>19050</xdr:colOff>
      <xdr:row>15</xdr:row>
      <xdr:rowOff>57150</xdr:rowOff>
    </xdr:from>
    <xdr:to>
      <xdr:col>6</xdr:col>
      <xdr:colOff>257175</xdr:colOff>
      <xdr:row>21</xdr:row>
      <xdr:rowOff>161925</xdr:rowOff>
    </xdr:to>
    <xdr:sp>
      <xdr:nvSpPr>
        <xdr:cNvPr id="13" name="Rectangle 142"/>
        <xdr:cNvSpPr>
          <a:spLocks/>
        </xdr:cNvSpPr>
      </xdr:nvSpPr>
      <xdr:spPr>
        <a:xfrm>
          <a:off x="3333750" y="3648075"/>
          <a:ext cx="868680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F6F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DOVE: 
</a:t>
          </a:r>
          <a:r>
            <a:rPr lang="en-US" cap="none" sz="1200" b="1" i="1" u="none" baseline="0">
              <a:solidFill>
                <a:srgbClr val="000000"/>
              </a:solidFill>
            </a:rPr>
            <a:t>- T</a:t>
          </a:r>
          <a:r>
            <a:rPr lang="en-US" cap="none" sz="1200" b="1" i="1" u="none" baseline="-25000">
              <a:solidFill>
                <a:srgbClr val="000000"/>
              </a:solidFill>
            </a:rPr>
            <a:t>I</a:t>
          </a:r>
          <a:r>
            <a:rPr lang="en-US" cap="none" sz="1200" b="1" i="1" u="none" baseline="0">
              <a:solidFill>
                <a:srgbClr val="000000"/>
              </a:solidFill>
            </a:rPr>
            <a:t> = C</a:t>
          </a:r>
          <a:r>
            <a:rPr lang="en-US" cap="none" sz="1200" b="1" i="1" u="none" baseline="-25000">
              <a:solidFill>
                <a:srgbClr val="000000"/>
              </a:solidFill>
            </a:rPr>
            <a:t>D </a:t>
          </a:r>
          <a:r>
            <a:rPr lang="en-US" cap="none" sz="1200" b="1" i="1" u="none" baseline="0">
              <a:solidFill>
                <a:srgbClr val="000000"/>
              </a:solidFill>
            </a:rPr>
            <a:t>– C</a:t>
          </a:r>
          <a:r>
            <a:rPr lang="en-US" cap="none" sz="1200" b="1" i="1" u="none" baseline="-25000">
              <a:solidFill>
                <a:srgbClr val="000000"/>
              </a:solidFill>
            </a:rPr>
            <a:t>DOM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ARIA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H2O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RP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RNP</a:t>
          </a:r>
          <a:r>
            <a:rPr lang="en-US" cap="none" sz="1200" b="1" i="1" u="none" baseline="0">
              <a:solidFill>
                <a:srgbClr val="000000"/>
              </a:solidFill>
            </a:rPr>
            <a:t> + (C</a:t>
          </a:r>
          <a:r>
            <a:rPr lang="en-US" cap="none" sz="1200" b="1" i="1" u="none" baseline="-25000">
              <a:solidFill>
                <a:srgbClr val="000000"/>
              </a:solidFill>
            </a:rPr>
            <a:t>CA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RI</a:t>
          </a:r>
          <a:r>
            <a:rPr lang="en-US" cap="none" sz="1200" b="1" i="1" u="none" baseline="0">
              <a:solidFill>
                <a:srgbClr val="000000"/>
              </a:solidFill>
            </a:rPr>
            <a:t>  + C</a:t>
          </a:r>
          <a:r>
            <a:rPr lang="en-US" cap="none" sz="1200" b="1" i="1" u="none" baseline="-25000">
              <a:solidFill>
                <a:srgbClr val="000000"/>
              </a:solidFill>
            </a:rPr>
            <a:t>OD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ST</a:t>
          </a:r>
          <a:r>
            <a:rPr lang="en-US" cap="none" sz="1200" b="1" i="1" u="none" baseline="0">
              <a:solidFill>
                <a:srgbClr val="000000"/>
              </a:solidFill>
            </a:rPr>
            <a:t> +C</a:t>
          </a:r>
          <a:r>
            <a:rPr lang="en-US" cap="none" sz="1200" b="1" i="1" u="none" baseline="-25000">
              <a:solidFill>
                <a:srgbClr val="000000"/>
              </a:solidFill>
            </a:rPr>
            <a:t>RA</a:t>
          </a:r>
          <a:r>
            <a:rPr lang="en-US" cap="none" sz="1200" b="1" i="1" u="none" baseline="0">
              <a:solidFill>
                <a:srgbClr val="000000"/>
              </a:solidFill>
            </a:rPr>
            <a:t>) 
</a:t>
          </a:r>
          <a:r>
            <a:rPr lang="en-US" cap="none" sz="1200" b="1" i="1" u="none" baseline="0">
              <a:solidFill>
                <a:srgbClr val="000000"/>
              </a:solidFill>
            </a:rPr>
            <a:t>- K</a:t>
          </a:r>
          <a:r>
            <a:rPr lang="en-US" cap="none" sz="1200" b="1" i="1" u="none" baseline="-25000">
              <a:solidFill>
                <a:srgbClr val="000000"/>
              </a:solidFill>
            </a:rPr>
            <a:t>1</a:t>
          </a:r>
          <a:r>
            <a:rPr lang="en-US" cap="none" sz="1200" b="1" i="1" u="none" baseline="0">
              <a:solidFill>
                <a:srgbClr val="000000"/>
              </a:solidFill>
            </a:rPr>
            <a:t>: coefficiente moltiplicativo da determinare secondo le modalità riportate al </a:t>
          </a:r>
          <a:r>
            <a:rPr lang="en-US" cap="none" sz="1200" b="1" i="1" u="sng" baseline="0">
              <a:solidFill>
                <a:srgbClr val="000000"/>
              </a:solidFill>
            </a:rPr>
            <a:t>punto 8</a:t>
          </a:r>
          <a:r>
            <a:rPr lang="en-US" cap="none" sz="1200" b="1" i="1" u="none" baseline="0">
              <a:solidFill>
                <a:srgbClr val="000000"/>
              </a:solidFill>
            </a:rPr>
            <a:t> 
</a:t>
          </a:r>
          <a:r>
            <a:rPr lang="en-US" cap="none" sz="1200" b="1" i="1" u="none" baseline="0">
              <a:solidFill>
                <a:srgbClr val="000000"/>
              </a:solidFill>
            </a:rPr>
            <a:t>-  In caso di adozione da parte del Gestore dell’impianto, di certificazioni ambientali, alla Tariffa così calcolata si applicherà un ulteriore sconto (C</a:t>
          </a:r>
          <a:r>
            <a:rPr lang="en-US" cap="none" sz="1200" b="1" i="1" u="none" baseline="-25000">
              <a:solidFill>
                <a:srgbClr val="000000"/>
              </a:solidFill>
            </a:rPr>
            <a:t>SGA</a:t>
          </a:r>
          <a:r>
            <a:rPr lang="en-US" cap="none" sz="1200" b="1" i="1" u="none" baseline="0">
              <a:solidFill>
                <a:srgbClr val="000000"/>
              </a:solidFill>
            </a:rPr>
            <a:t>) secondo le modalità specificate al </a:t>
          </a:r>
          <a:r>
            <a:rPr lang="en-US" cap="none" sz="1200" b="1" i="1" u="sng" baseline="0">
              <a:solidFill>
                <a:srgbClr val="000000"/>
              </a:solidFill>
            </a:rPr>
            <a:t>punto 6</a:t>
          </a:r>
          <a:r>
            <a:rPr lang="en-US" cap="none" sz="1200" b="1" i="1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1466850</xdr:colOff>
      <xdr:row>160</xdr:row>
      <xdr:rowOff>247650</xdr:rowOff>
    </xdr:from>
    <xdr:to>
      <xdr:col>9</xdr:col>
      <xdr:colOff>85725</xdr:colOff>
      <xdr:row>166</xdr:row>
      <xdr:rowOff>171450</xdr:rowOff>
    </xdr:to>
    <xdr:sp>
      <xdr:nvSpPr>
        <xdr:cNvPr id="14" name="Callout 1 14"/>
        <xdr:cNvSpPr>
          <a:spLocks/>
        </xdr:cNvSpPr>
      </xdr:nvSpPr>
      <xdr:spPr>
        <a:xfrm>
          <a:off x="10058400" y="34851975"/>
          <a:ext cx="5400675" cy="1162050"/>
        </a:xfrm>
        <a:prstGeom prst="borderCallout1">
          <a:avLst>
            <a:gd name="adj1" fmla="val -78675"/>
            <a:gd name="adj2" fmla="val -106148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selezionare</a:t>
          </a:r>
          <a:r>
            <a:rPr lang="en-US" cap="none" sz="1100" b="1" i="0" u="none" baseline="0">
              <a:solidFill>
                <a:srgbClr val="000000"/>
              </a:solidFill>
            </a:rPr>
            <a:t> il codice corrispondente alla tipologia di procedimento autorizzativo:
</a:t>
          </a:r>
          <a:r>
            <a:rPr lang="en-US" cap="none" sz="1100" b="1" i="0" u="none" baseline="0">
              <a:solidFill>
                <a:srgbClr val="000000"/>
              </a:solidFill>
            </a:rPr>
            <a:t>2 - impianto nuovo/prima AIA
</a:t>
          </a:r>
          <a:r>
            <a:rPr lang="en-US" cap="none" sz="1100" b="1" i="0" u="none" baseline="0">
              <a:solidFill>
                <a:srgbClr val="000000"/>
              </a:solidFill>
            </a:rPr>
            <a:t>3 - modifica sostanzaile;
</a:t>
          </a:r>
          <a:r>
            <a:rPr lang="en-US" cap="none" sz="1100" b="1" i="0" u="none" baseline="0">
              <a:solidFill>
                <a:srgbClr val="000000"/>
              </a:solidFill>
            </a:rPr>
            <a:t>4 - Rinnovo tal quale
</a:t>
          </a:r>
        </a:p>
      </xdr:txBody>
    </xdr:sp>
    <xdr:clientData/>
  </xdr:twoCellAnchor>
  <xdr:twoCellAnchor>
    <xdr:from>
      <xdr:col>5</xdr:col>
      <xdr:colOff>1209675</xdr:colOff>
      <xdr:row>54</xdr:row>
      <xdr:rowOff>114300</xdr:rowOff>
    </xdr:from>
    <xdr:to>
      <xdr:col>10</xdr:col>
      <xdr:colOff>200025</xdr:colOff>
      <xdr:row>57</xdr:row>
      <xdr:rowOff>19050</xdr:rowOff>
    </xdr:to>
    <xdr:sp>
      <xdr:nvSpPr>
        <xdr:cNvPr id="15" name="Callout 1 15"/>
        <xdr:cNvSpPr>
          <a:spLocks/>
        </xdr:cNvSpPr>
      </xdr:nvSpPr>
      <xdr:spPr>
        <a:xfrm>
          <a:off x="11658600" y="11344275"/>
          <a:ext cx="4752975" cy="628650"/>
        </a:xfrm>
        <a:prstGeom prst="borderCallout1">
          <a:avLst>
            <a:gd name="adj1" fmla="val -120439"/>
            <a:gd name="adj2" fmla="val 23995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il</a:t>
          </a:r>
          <a:r>
            <a:rPr lang="en-US" cap="none" sz="1100" b="1" i="0" u="none" baseline="0">
              <a:solidFill>
                <a:srgbClr val="000000"/>
              </a:solidFill>
            </a:rPr>
            <a:t> numero di scarichi con n. di inquinanti compreso nel range indicato
</a:t>
          </a:r>
        </a:p>
      </xdr:txBody>
    </xdr:sp>
    <xdr:clientData/>
  </xdr:twoCellAnchor>
  <xdr:twoCellAnchor>
    <xdr:from>
      <xdr:col>5</xdr:col>
      <xdr:colOff>1247775</xdr:colOff>
      <xdr:row>58</xdr:row>
      <xdr:rowOff>0</xdr:rowOff>
    </xdr:from>
    <xdr:to>
      <xdr:col>10</xdr:col>
      <xdr:colOff>247650</xdr:colOff>
      <xdr:row>62</xdr:row>
      <xdr:rowOff>190500</xdr:rowOff>
    </xdr:to>
    <xdr:sp>
      <xdr:nvSpPr>
        <xdr:cNvPr id="16" name="Callout 1 16"/>
        <xdr:cNvSpPr>
          <a:spLocks/>
        </xdr:cNvSpPr>
      </xdr:nvSpPr>
      <xdr:spPr>
        <a:xfrm>
          <a:off x="11696700" y="12134850"/>
          <a:ext cx="4762500" cy="914400"/>
        </a:xfrm>
        <a:prstGeom prst="borderCallout1">
          <a:avLst>
            <a:gd name="adj1" fmla="val -94078"/>
            <a:gd name="adj2" fmla="val -76148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sulla base della 'tabella C' sarà automaticamente indivividuata la tariffa per ogni classe di scarico, dall'incrocio dell'informazione relativa a "numero di inquinanti" e "numero di scarichi"
</a:t>
          </a:r>
        </a:p>
      </xdr:txBody>
    </xdr:sp>
    <xdr:clientData/>
  </xdr:twoCellAnchor>
  <xdr:twoCellAnchor>
    <xdr:from>
      <xdr:col>4</xdr:col>
      <xdr:colOff>1514475</xdr:colOff>
      <xdr:row>167</xdr:row>
      <xdr:rowOff>0</xdr:rowOff>
    </xdr:from>
    <xdr:to>
      <xdr:col>9</xdr:col>
      <xdr:colOff>133350</xdr:colOff>
      <xdr:row>206</xdr:row>
      <xdr:rowOff>142875</xdr:rowOff>
    </xdr:to>
    <xdr:sp>
      <xdr:nvSpPr>
        <xdr:cNvPr id="17" name="Callout 1 17"/>
        <xdr:cNvSpPr>
          <a:spLocks/>
        </xdr:cNvSpPr>
      </xdr:nvSpPr>
      <xdr:spPr>
        <a:xfrm>
          <a:off x="10106025" y="36195000"/>
          <a:ext cx="5400675" cy="504825"/>
        </a:xfrm>
        <a:prstGeom prst="borderCallout1">
          <a:avLst>
            <a:gd name="adj1" fmla="val -99421"/>
            <a:gd name="adj2" fmla="val -179953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la cifra (in euro) corrispondente ad un eventuale anticipo versato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101</xdr:row>
      <xdr:rowOff>152400</xdr:rowOff>
    </xdr:from>
    <xdr:to>
      <xdr:col>11</xdr:col>
      <xdr:colOff>647700</xdr:colOff>
      <xdr:row>106</xdr:row>
      <xdr:rowOff>114300</xdr:rowOff>
    </xdr:to>
    <xdr:sp>
      <xdr:nvSpPr>
        <xdr:cNvPr id="1" name="Callout 1 1"/>
        <xdr:cNvSpPr>
          <a:spLocks/>
        </xdr:cNvSpPr>
      </xdr:nvSpPr>
      <xdr:spPr>
        <a:xfrm>
          <a:off x="14077950" y="21336000"/>
          <a:ext cx="3486150" cy="1028700"/>
        </a:xfrm>
        <a:prstGeom prst="borderCallout1">
          <a:avLst>
            <a:gd name="adj1" fmla="val -154300"/>
            <a:gd name="adj2" fmla="val 8384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'SI' se </a:t>
          </a:r>
          <a:r>
            <a:rPr lang="en-US" cap="none" sz="1100" b="1" i="0" u="none" baseline="0">
              <a:solidFill>
                <a:srgbClr val="000000"/>
              </a:solidFill>
            </a:rPr>
            <a:t>la componente ambientale è pertinente con l'attività dell'Azienda in riferimento alla Tab. E2.</a:t>
          </a:r>
        </a:p>
      </xdr:txBody>
    </xdr:sp>
    <xdr:clientData/>
  </xdr:twoCellAnchor>
  <xdr:twoCellAnchor>
    <xdr:from>
      <xdr:col>8</xdr:col>
      <xdr:colOff>0</xdr:colOff>
      <xdr:row>108</xdr:row>
      <xdr:rowOff>85725</xdr:rowOff>
    </xdr:from>
    <xdr:to>
      <xdr:col>11</xdr:col>
      <xdr:colOff>600075</xdr:colOff>
      <xdr:row>112</xdr:row>
      <xdr:rowOff>304800</xdr:rowOff>
    </xdr:to>
    <xdr:sp>
      <xdr:nvSpPr>
        <xdr:cNvPr id="2" name="Callout 1 2"/>
        <xdr:cNvSpPr>
          <a:spLocks/>
        </xdr:cNvSpPr>
      </xdr:nvSpPr>
      <xdr:spPr>
        <a:xfrm>
          <a:off x="14058900" y="22793325"/>
          <a:ext cx="3457575" cy="1323975"/>
        </a:xfrm>
        <a:prstGeom prst="borderCallout1">
          <a:avLst>
            <a:gd name="adj1" fmla="val -82000"/>
            <a:gd name="adj2" fmla="val 4189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il</a:t>
          </a:r>
          <a:r>
            <a:rPr lang="en-US" cap="none" sz="1100" b="1" i="0" u="none" baseline="0">
              <a:solidFill>
                <a:srgbClr val="000000"/>
              </a:solidFill>
            </a:rPr>
            <a:t> numero corrispondente alla casisistica individuata dalla Tab:
</a:t>
          </a:r>
          <a:r>
            <a:rPr lang="en-US" cap="none" sz="1100" b="1" i="0" u="none" baseline="0">
              <a:solidFill>
                <a:srgbClr val="000000"/>
              </a:solidFill>
            </a:rPr>
            <a:t>1 - impianto svolgente attività di cui ai punti 2.6 o 6.7;
</a:t>
          </a:r>
          <a:r>
            <a:rPr lang="en-US" cap="none" sz="1100" b="1" i="0" u="none" baseline="0">
              <a:solidFill>
                <a:srgbClr val="000000"/>
              </a:solidFill>
            </a:rPr>
            <a:t>2 - impianti (ad eccezione di quelli di cui ai punti 2.6 o 6.7) collocati in area di Classe VI;
</a:t>
          </a:r>
          <a:r>
            <a:rPr lang="en-US" cap="none" sz="1100" b="1" i="0" u="none" baseline="0">
              <a:solidFill>
                <a:srgbClr val="000000"/>
              </a:solidFill>
            </a:rPr>
            <a:t>3 - impianti non inclusi in una delle voci sopra riportate
</a:t>
          </a:r>
        </a:p>
      </xdr:txBody>
    </xdr:sp>
    <xdr:clientData/>
  </xdr:twoCellAnchor>
  <xdr:twoCellAnchor>
    <xdr:from>
      <xdr:col>8</xdr:col>
      <xdr:colOff>485775</xdr:colOff>
      <xdr:row>24</xdr:row>
      <xdr:rowOff>104775</xdr:rowOff>
    </xdr:from>
    <xdr:to>
      <xdr:col>13</xdr:col>
      <xdr:colOff>704850</xdr:colOff>
      <xdr:row>30</xdr:row>
      <xdr:rowOff>114300</xdr:rowOff>
    </xdr:to>
    <xdr:sp>
      <xdr:nvSpPr>
        <xdr:cNvPr id="3" name="Callout 1 4"/>
        <xdr:cNvSpPr>
          <a:spLocks/>
        </xdr:cNvSpPr>
      </xdr:nvSpPr>
      <xdr:spPr>
        <a:xfrm>
          <a:off x="14544675" y="5267325"/>
          <a:ext cx="4752975" cy="1247775"/>
        </a:xfrm>
        <a:prstGeom prst="borderCallout1">
          <a:avLst>
            <a:gd name="adj1" fmla="val -70921"/>
            <a:gd name="adj2" fmla="val -9578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selezionare il</a:t>
          </a:r>
          <a:r>
            <a:rPr lang="en-US" cap="none" sz="1100" b="1" i="0" u="none" baseline="0">
              <a:solidFill>
                <a:srgbClr val="000000"/>
              </a:solidFill>
            </a:rPr>
            <a:t> numero corrispondente alla casisistica individuata dalla Tab:
</a:t>
          </a:r>
          <a:r>
            <a:rPr lang="en-US" cap="none" sz="1100" b="1" i="0" u="none" baseline="0">
              <a:solidFill>
                <a:srgbClr val="000000"/>
              </a:solidFill>
            </a:rPr>
            <a:t>1 - impianto con attività ricadente nel d.lgs 334/99 e smi ;
</a:t>
          </a:r>
          <a:r>
            <a:rPr lang="en-US" cap="none" sz="1100" b="1" i="0" u="none" baseline="0">
              <a:solidFill>
                <a:srgbClr val="000000"/>
              </a:solidFill>
            </a:rPr>
            <a:t>2 - grande e media impresa
</a:t>
          </a:r>
          <a:r>
            <a:rPr lang="en-US" cap="none" sz="1100" b="1" i="0" u="none" baseline="0">
              <a:solidFill>
                <a:srgbClr val="000000"/>
              </a:solidFill>
            </a:rPr>
            <a:t>3 - micro e piccola impresa
</a:t>
          </a:r>
        </a:p>
      </xdr:txBody>
    </xdr:sp>
    <xdr:clientData/>
  </xdr:twoCellAnchor>
  <xdr:twoCellAnchor>
    <xdr:from>
      <xdr:col>5</xdr:col>
      <xdr:colOff>1047750</xdr:colOff>
      <xdr:row>32</xdr:row>
      <xdr:rowOff>57150</xdr:rowOff>
    </xdr:from>
    <xdr:to>
      <xdr:col>10</xdr:col>
      <xdr:colOff>38100</xdr:colOff>
      <xdr:row>35</xdr:row>
      <xdr:rowOff>9525</xdr:rowOff>
    </xdr:to>
    <xdr:sp>
      <xdr:nvSpPr>
        <xdr:cNvPr id="4" name="Callout 1 5"/>
        <xdr:cNvSpPr>
          <a:spLocks/>
        </xdr:cNvSpPr>
      </xdr:nvSpPr>
      <xdr:spPr>
        <a:xfrm>
          <a:off x="11363325" y="6915150"/>
          <a:ext cx="4752975" cy="628650"/>
        </a:xfrm>
        <a:prstGeom prst="borderCallout1">
          <a:avLst>
            <a:gd name="adj1" fmla="val -120439"/>
            <a:gd name="adj2" fmla="val 23995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il</a:t>
          </a:r>
          <a:r>
            <a:rPr lang="en-US" cap="none" sz="1100" b="1" i="0" u="none" baseline="0">
              <a:solidFill>
                <a:srgbClr val="000000"/>
              </a:solidFill>
            </a:rPr>
            <a:t> numero di emissioni con n. di inquinanti compreso nel range indicato
</a:t>
          </a:r>
        </a:p>
      </xdr:txBody>
    </xdr:sp>
    <xdr:clientData/>
  </xdr:twoCellAnchor>
  <xdr:twoCellAnchor>
    <xdr:from>
      <xdr:col>6</xdr:col>
      <xdr:colOff>971550</xdr:colOff>
      <xdr:row>35</xdr:row>
      <xdr:rowOff>161925</xdr:rowOff>
    </xdr:from>
    <xdr:to>
      <xdr:col>11</xdr:col>
      <xdr:colOff>447675</xdr:colOff>
      <xdr:row>40</xdr:row>
      <xdr:rowOff>161925</xdr:rowOff>
    </xdr:to>
    <xdr:sp>
      <xdr:nvSpPr>
        <xdr:cNvPr id="5" name="Callout 1 6"/>
        <xdr:cNvSpPr>
          <a:spLocks/>
        </xdr:cNvSpPr>
      </xdr:nvSpPr>
      <xdr:spPr>
        <a:xfrm>
          <a:off x="12601575" y="7696200"/>
          <a:ext cx="4762500" cy="952500"/>
        </a:xfrm>
        <a:prstGeom prst="borderCallout1">
          <a:avLst>
            <a:gd name="adj1" fmla="val -95861"/>
            <a:gd name="adj2" fmla="val -48240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sulla base della 'tabella B' sarà automaticamente indivividuata la tariffa per ogni classe di emissione, dall'incrocio dell'informazione relativa a "numero di inquinanti" e "numero di emissioni in atmosfera"
</a:t>
          </a:r>
        </a:p>
      </xdr:txBody>
    </xdr:sp>
    <xdr:clientData/>
  </xdr:twoCellAnchor>
  <xdr:twoCellAnchor>
    <xdr:from>
      <xdr:col>6</xdr:col>
      <xdr:colOff>971550</xdr:colOff>
      <xdr:row>68</xdr:row>
      <xdr:rowOff>19050</xdr:rowOff>
    </xdr:from>
    <xdr:to>
      <xdr:col>11</xdr:col>
      <xdr:colOff>447675</xdr:colOff>
      <xdr:row>71</xdr:row>
      <xdr:rowOff>57150</xdr:rowOff>
    </xdr:to>
    <xdr:sp>
      <xdr:nvSpPr>
        <xdr:cNvPr id="6" name="Callout 1 7"/>
        <xdr:cNvSpPr>
          <a:spLocks/>
        </xdr:cNvSpPr>
      </xdr:nvSpPr>
      <xdr:spPr>
        <a:xfrm>
          <a:off x="12601575" y="14525625"/>
          <a:ext cx="4762500" cy="600075"/>
        </a:xfrm>
        <a:prstGeom prst="borderCallout1">
          <a:avLst>
            <a:gd name="adj1" fmla="val -160824"/>
            <a:gd name="adj2" fmla="val 111032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</a:t>
          </a:r>
          <a:r>
            <a:rPr lang="en-US" cap="none" sz="1100" b="1" i="0" u="none" baseline="0">
              <a:solidFill>
                <a:srgbClr val="000000"/>
              </a:solidFill>
            </a:rPr>
            <a:t>le quantità (medie giornaliere) di rifiuti sottoposte ad operazioni di recupero R o smaltimento D, espresse in tonn/giorno (paragrafo 4 della dgr)
</a:t>
          </a:r>
        </a:p>
      </xdr:txBody>
    </xdr:sp>
    <xdr:clientData/>
  </xdr:twoCellAnchor>
  <xdr:twoCellAnchor>
    <xdr:from>
      <xdr:col>7</xdr:col>
      <xdr:colOff>390525</xdr:colOff>
      <xdr:row>72</xdr:row>
      <xdr:rowOff>180975</xdr:rowOff>
    </xdr:from>
    <xdr:to>
      <xdr:col>12</xdr:col>
      <xdr:colOff>533400</xdr:colOff>
      <xdr:row>75</xdr:row>
      <xdr:rowOff>76200</xdr:rowOff>
    </xdr:to>
    <xdr:sp>
      <xdr:nvSpPr>
        <xdr:cNvPr id="7" name="Callout 1 9"/>
        <xdr:cNvSpPr>
          <a:spLocks/>
        </xdr:cNvSpPr>
      </xdr:nvSpPr>
      <xdr:spPr>
        <a:xfrm>
          <a:off x="13525500" y="15440025"/>
          <a:ext cx="4762500" cy="561975"/>
        </a:xfrm>
        <a:prstGeom prst="borderCallout1">
          <a:avLst>
            <a:gd name="adj1" fmla="val -123324"/>
            <a:gd name="adj2" fmla="val 14592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SOLO PER LE DISCARICHE: inserire </a:t>
          </a:r>
          <a:r>
            <a:rPr lang="en-US" cap="none" sz="1100" b="1" i="0" u="none" baseline="0">
              <a:solidFill>
                <a:srgbClr val="000000"/>
              </a:solidFill>
            </a:rPr>
            <a:t>il valore della capacità autorizzata (mc) autorizzato
</a:t>
          </a:r>
        </a:p>
      </xdr:txBody>
    </xdr:sp>
    <xdr:clientData/>
  </xdr:twoCellAnchor>
  <xdr:twoCellAnchor>
    <xdr:from>
      <xdr:col>8</xdr:col>
      <xdr:colOff>723900</xdr:colOff>
      <xdr:row>113</xdr:row>
      <xdr:rowOff>200025</xdr:rowOff>
    </xdr:from>
    <xdr:to>
      <xdr:col>11</xdr:col>
      <xdr:colOff>590550</xdr:colOff>
      <xdr:row>118</xdr:row>
      <xdr:rowOff>9525</xdr:rowOff>
    </xdr:to>
    <xdr:sp>
      <xdr:nvSpPr>
        <xdr:cNvPr id="8" name="Callout 1 12"/>
        <xdr:cNvSpPr>
          <a:spLocks/>
        </xdr:cNvSpPr>
      </xdr:nvSpPr>
      <xdr:spPr>
        <a:xfrm>
          <a:off x="14782800" y="24393525"/>
          <a:ext cx="2724150" cy="914400"/>
        </a:xfrm>
        <a:prstGeom prst="borderCallout1">
          <a:avLst>
            <a:gd name="adj1" fmla="val -70055"/>
            <a:gd name="adj2" fmla="val 94888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selzionare:
</a:t>
          </a:r>
          <a:r>
            <a:rPr lang="en-US" cap="none" sz="1100" b="1" i="0" u="none" baseline="0">
              <a:solidFill>
                <a:srgbClr val="000000"/>
              </a:solidFill>
            </a:rPr>
            <a:t>1 - se domanda presentata econdo le specifiche dell'AC
</a:t>
          </a:r>
          <a:r>
            <a:rPr lang="en-US" cap="none" sz="1100" b="1" i="0" u="none" baseline="0">
              <a:solidFill>
                <a:srgbClr val="000000"/>
              </a:solidFill>
            </a:rPr>
            <a:t>0</a:t>
          </a:r>
          <a:r>
            <a:rPr lang="en-US" cap="none" sz="1100" b="1" i="0" u="none" baseline="0">
              <a:solidFill>
                <a:srgbClr val="000000"/>
              </a:solidFill>
            </a:rPr>
            <a:t> - se NON conforme;</a:t>
          </a:r>
        </a:p>
      </xdr:txBody>
    </xdr:sp>
    <xdr:clientData/>
  </xdr:twoCellAnchor>
  <xdr:twoCellAnchor>
    <xdr:from>
      <xdr:col>8</xdr:col>
      <xdr:colOff>819150</xdr:colOff>
      <xdr:row>126</xdr:row>
      <xdr:rowOff>180975</xdr:rowOff>
    </xdr:from>
    <xdr:to>
      <xdr:col>11</xdr:col>
      <xdr:colOff>685800</xdr:colOff>
      <xdr:row>129</xdr:row>
      <xdr:rowOff>123825</xdr:rowOff>
    </xdr:to>
    <xdr:sp>
      <xdr:nvSpPr>
        <xdr:cNvPr id="9" name="Callout 1 13"/>
        <xdr:cNvSpPr>
          <a:spLocks/>
        </xdr:cNvSpPr>
      </xdr:nvSpPr>
      <xdr:spPr>
        <a:xfrm>
          <a:off x="14878050" y="27098625"/>
          <a:ext cx="2724150" cy="495300"/>
        </a:xfrm>
        <a:prstGeom prst="borderCallout1">
          <a:avLst>
            <a:gd name="adj1" fmla="val -88273"/>
            <a:gd name="adj2" fmla="val 24648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selzionare</a:t>
          </a:r>
          <a:r>
            <a:rPr lang="en-US" cap="none" sz="1100" b="1" i="0" u="none" baseline="0">
              <a:solidFill>
                <a:srgbClr val="000000"/>
              </a:solidFill>
            </a:rPr>
            <a:t> il codice IPPC dell'attività principale</a:t>
          </a:r>
        </a:p>
      </xdr:txBody>
    </xdr:sp>
    <xdr:clientData/>
  </xdr:twoCellAnchor>
  <xdr:twoCellAnchor>
    <xdr:from>
      <xdr:col>4</xdr:col>
      <xdr:colOff>1495425</xdr:colOff>
      <xdr:row>147</xdr:row>
      <xdr:rowOff>9525</xdr:rowOff>
    </xdr:from>
    <xdr:to>
      <xdr:col>9</xdr:col>
      <xdr:colOff>295275</xdr:colOff>
      <xdr:row>154</xdr:row>
      <xdr:rowOff>104775</xdr:rowOff>
    </xdr:to>
    <xdr:sp>
      <xdr:nvSpPr>
        <xdr:cNvPr id="10" name="Callout 1 14"/>
        <xdr:cNvSpPr>
          <a:spLocks/>
        </xdr:cNvSpPr>
      </xdr:nvSpPr>
      <xdr:spPr>
        <a:xfrm>
          <a:off x="9953625" y="32023050"/>
          <a:ext cx="5581650" cy="1552575"/>
        </a:xfrm>
        <a:prstGeom prst="borderCallout1">
          <a:avLst>
            <a:gd name="adj1" fmla="val -133787"/>
            <a:gd name="adj2" fmla="val -157856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selezionare</a:t>
          </a:r>
          <a:r>
            <a:rPr lang="en-US" cap="none" sz="1100" b="1" i="0" u="none" baseline="0">
              <a:solidFill>
                <a:srgbClr val="000000"/>
              </a:solidFill>
            </a:rPr>
            <a:t> il codice corrispondente alla tipologia di certificazione adottata dall'azienda:
</a:t>
          </a:r>
          <a:r>
            <a:rPr lang="en-US" cap="none" sz="1100" b="1" i="0" u="none" baseline="0">
              <a:solidFill>
                <a:srgbClr val="000000"/>
              </a:solidFill>
            </a:rPr>
            <a:t>1 - ISO 14001;
</a:t>
          </a:r>
          <a:r>
            <a:rPr lang="en-US" cap="none" sz="1100" b="1" i="0" u="none" baseline="0">
              <a:solidFill>
                <a:srgbClr val="000000"/>
              </a:solidFill>
            </a:rPr>
            <a:t>2 - EMAS;
</a:t>
          </a:r>
          <a:r>
            <a:rPr lang="en-US" cap="none" sz="1100" b="1" i="0" u="none" baseline="0">
              <a:solidFill>
                <a:srgbClr val="000000"/>
              </a:solidFill>
            </a:rPr>
            <a:t>3 - EN 16001;
</a:t>
          </a:r>
          <a:r>
            <a:rPr lang="en-US" cap="none" sz="1100" b="1" i="0" u="none" baseline="0">
              <a:solidFill>
                <a:srgbClr val="000000"/>
              </a:solidFill>
            </a:rPr>
            <a:t>4 - </a:t>
          </a:r>
          <a:r>
            <a:rPr lang="en-US" cap="none" sz="1100" b="1" i="0" u="none" baseline="0">
              <a:solidFill>
                <a:srgbClr val="000000"/>
              </a:solidFill>
            </a:rPr>
            <a:t>ISO 14001 + EN 16001;
</a:t>
          </a:r>
          <a:r>
            <a:rPr lang="en-US" cap="none" sz="1100" b="1" i="0" u="none" baseline="0">
              <a:solidFill>
                <a:srgbClr val="000000"/>
              </a:solidFill>
            </a:rPr>
            <a:t>5 - EMAS + EN 16001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8</xdr:col>
      <xdr:colOff>104775</xdr:colOff>
      <xdr:row>91</xdr:row>
      <xdr:rowOff>114300</xdr:rowOff>
    </xdr:from>
    <xdr:to>
      <xdr:col>11</xdr:col>
      <xdr:colOff>733425</xdr:colOff>
      <xdr:row>95</xdr:row>
      <xdr:rowOff>104775</xdr:rowOff>
    </xdr:to>
    <xdr:sp>
      <xdr:nvSpPr>
        <xdr:cNvPr id="11" name="Callout 1 15"/>
        <xdr:cNvSpPr>
          <a:spLocks/>
        </xdr:cNvSpPr>
      </xdr:nvSpPr>
      <xdr:spPr>
        <a:xfrm>
          <a:off x="14163675" y="19535775"/>
          <a:ext cx="3486150" cy="542925"/>
        </a:xfrm>
        <a:prstGeom prst="borderCallout1">
          <a:avLst>
            <a:gd name="adj1" fmla="val -219347"/>
            <a:gd name="adj2" fmla="val 207342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selezionare 'SI' se</a:t>
          </a:r>
          <a:r>
            <a:rPr lang="en-US" cap="none" sz="1100" b="1" i="0" u="none" baseline="0">
              <a:solidFill>
                <a:srgbClr val="000000"/>
              </a:solidFill>
            </a:rPr>
            <a:t> viene svolto il deposito preliminare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1</xdr:col>
      <xdr:colOff>438150</xdr:colOff>
      <xdr:row>17</xdr:row>
      <xdr:rowOff>9525</xdr:rowOff>
    </xdr:to>
    <xdr:sp>
      <xdr:nvSpPr>
        <xdr:cNvPr id="12" name="Rectangle 142"/>
        <xdr:cNvSpPr>
          <a:spLocks/>
        </xdr:cNvSpPr>
      </xdr:nvSpPr>
      <xdr:spPr>
        <a:xfrm>
          <a:off x="38100" y="3409950"/>
          <a:ext cx="232410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F6F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T</a:t>
          </a:r>
          <a:r>
            <a:rPr lang="en-US" cap="none" sz="2000" b="1" i="0" u="none" baseline="-25000">
              <a:solidFill>
                <a:srgbClr val="000000"/>
              </a:solidFill>
            </a:rPr>
            <a:t>F</a:t>
          </a:r>
          <a:r>
            <a:rPr lang="en-US" cap="none" sz="2000" b="1" i="0" u="none" baseline="0">
              <a:solidFill>
                <a:srgbClr val="000000"/>
              </a:solidFill>
            </a:rPr>
            <a:t> = T</a:t>
          </a:r>
          <a:r>
            <a:rPr lang="en-US" cap="none" sz="2000" b="1" i="0" u="none" baseline="-25000">
              <a:solidFill>
                <a:srgbClr val="000000"/>
              </a:solidFill>
            </a:rPr>
            <a:t>I</a:t>
          </a:r>
          <a:r>
            <a:rPr lang="en-US" cap="none" sz="2000" b="1" i="0" u="none" baseline="0">
              <a:solidFill>
                <a:srgbClr val="000000"/>
              </a:solidFill>
            </a:rPr>
            <a:t> *K1 </a:t>
          </a:r>
        </a:p>
      </xdr:txBody>
    </xdr:sp>
    <xdr:clientData/>
  </xdr:twoCellAnchor>
  <xdr:twoCellAnchor>
    <xdr:from>
      <xdr:col>2</xdr:col>
      <xdr:colOff>19050</xdr:colOff>
      <xdr:row>14</xdr:row>
      <xdr:rowOff>57150</xdr:rowOff>
    </xdr:from>
    <xdr:to>
      <xdr:col>6</xdr:col>
      <xdr:colOff>257175</xdr:colOff>
      <xdr:row>20</xdr:row>
      <xdr:rowOff>161925</xdr:rowOff>
    </xdr:to>
    <xdr:sp>
      <xdr:nvSpPr>
        <xdr:cNvPr id="13" name="Rectangle 142"/>
        <xdr:cNvSpPr>
          <a:spLocks/>
        </xdr:cNvSpPr>
      </xdr:nvSpPr>
      <xdr:spPr>
        <a:xfrm>
          <a:off x="3200400" y="3409950"/>
          <a:ext cx="868680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F6F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DOVE: 
</a:t>
          </a:r>
          <a:r>
            <a:rPr lang="en-US" cap="none" sz="1200" b="1" i="1" u="none" baseline="0">
              <a:solidFill>
                <a:srgbClr val="000000"/>
              </a:solidFill>
            </a:rPr>
            <a:t>- T</a:t>
          </a:r>
          <a:r>
            <a:rPr lang="en-US" cap="none" sz="1200" b="1" i="1" u="none" baseline="-25000">
              <a:solidFill>
                <a:srgbClr val="000000"/>
              </a:solidFill>
            </a:rPr>
            <a:t>I</a:t>
          </a:r>
          <a:r>
            <a:rPr lang="en-US" cap="none" sz="1200" b="1" i="1" u="none" baseline="0">
              <a:solidFill>
                <a:srgbClr val="000000"/>
              </a:solidFill>
            </a:rPr>
            <a:t> = C</a:t>
          </a:r>
          <a:r>
            <a:rPr lang="en-US" cap="none" sz="1200" b="1" i="1" u="none" baseline="-25000">
              <a:solidFill>
                <a:srgbClr val="000000"/>
              </a:solidFill>
            </a:rPr>
            <a:t>D </a:t>
          </a:r>
          <a:r>
            <a:rPr lang="en-US" cap="none" sz="1200" b="1" i="1" u="none" baseline="0">
              <a:solidFill>
                <a:srgbClr val="000000"/>
              </a:solidFill>
            </a:rPr>
            <a:t>– C</a:t>
          </a:r>
          <a:r>
            <a:rPr lang="en-US" cap="none" sz="1200" b="1" i="1" u="none" baseline="-25000">
              <a:solidFill>
                <a:srgbClr val="000000"/>
              </a:solidFill>
            </a:rPr>
            <a:t>DOM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ARIA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H2O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RP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RNP</a:t>
          </a:r>
          <a:r>
            <a:rPr lang="en-US" cap="none" sz="1200" b="1" i="1" u="none" baseline="0">
              <a:solidFill>
                <a:srgbClr val="000000"/>
              </a:solidFill>
            </a:rPr>
            <a:t> + (C</a:t>
          </a:r>
          <a:r>
            <a:rPr lang="en-US" cap="none" sz="1200" b="1" i="1" u="none" baseline="-25000">
              <a:solidFill>
                <a:srgbClr val="000000"/>
              </a:solidFill>
            </a:rPr>
            <a:t>CA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RI</a:t>
          </a:r>
          <a:r>
            <a:rPr lang="en-US" cap="none" sz="1200" b="1" i="1" u="none" baseline="0">
              <a:solidFill>
                <a:srgbClr val="000000"/>
              </a:solidFill>
            </a:rPr>
            <a:t>  + C</a:t>
          </a:r>
          <a:r>
            <a:rPr lang="en-US" cap="none" sz="1200" b="1" i="1" u="none" baseline="-25000">
              <a:solidFill>
                <a:srgbClr val="000000"/>
              </a:solidFill>
            </a:rPr>
            <a:t>OD</a:t>
          </a:r>
          <a:r>
            <a:rPr lang="en-US" cap="none" sz="1200" b="1" i="1" u="none" baseline="0">
              <a:solidFill>
                <a:srgbClr val="000000"/>
              </a:solidFill>
            </a:rPr>
            <a:t> + C</a:t>
          </a:r>
          <a:r>
            <a:rPr lang="en-US" cap="none" sz="1200" b="1" i="1" u="none" baseline="-25000">
              <a:solidFill>
                <a:srgbClr val="000000"/>
              </a:solidFill>
            </a:rPr>
            <a:t>ST</a:t>
          </a:r>
          <a:r>
            <a:rPr lang="en-US" cap="none" sz="1200" b="1" i="1" u="none" baseline="0">
              <a:solidFill>
                <a:srgbClr val="000000"/>
              </a:solidFill>
            </a:rPr>
            <a:t> +C</a:t>
          </a:r>
          <a:r>
            <a:rPr lang="en-US" cap="none" sz="1200" b="1" i="1" u="none" baseline="-25000">
              <a:solidFill>
                <a:srgbClr val="000000"/>
              </a:solidFill>
            </a:rPr>
            <a:t>RA</a:t>
          </a:r>
          <a:r>
            <a:rPr lang="en-US" cap="none" sz="1200" b="1" i="1" u="none" baseline="0">
              <a:solidFill>
                <a:srgbClr val="000000"/>
              </a:solidFill>
            </a:rPr>
            <a:t>) 
</a:t>
          </a:r>
          <a:r>
            <a:rPr lang="en-US" cap="none" sz="1200" b="1" i="1" u="none" baseline="0">
              <a:solidFill>
                <a:srgbClr val="000000"/>
              </a:solidFill>
            </a:rPr>
            <a:t>- K</a:t>
          </a:r>
          <a:r>
            <a:rPr lang="en-US" cap="none" sz="1200" b="1" i="1" u="none" baseline="-25000">
              <a:solidFill>
                <a:srgbClr val="000000"/>
              </a:solidFill>
            </a:rPr>
            <a:t>1</a:t>
          </a:r>
          <a:r>
            <a:rPr lang="en-US" cap="none" sz="1200" b="1" i="1" u="none" baseline="0">
              <a:solidFill>
                <a:srgbClr val="000000"/>
              </a:solidFill>
            </a:rPr>
            <a:t>: coefficiente moltiplicativo da determinare secondo le modalità riportate al </a:t>
          </a:r>
          <a:r>
            <a:rPr lang="en-US" cap="none" sz="1200" b="1" i="1" u="sng" baseline="0">
              <a:solidFill>
                <a:srgbClr val="000000"/>
              </a:solidFill>
            </a:rPr>
            <a:t>punto 8</a:t>
          </a:r>
          <a:r>
            <a:rPr lang="en-US" cap="none" sz="1200" b="1" i="1" u="none" baseline="0">
              <a:solidFill>
                <a:srgbClr val="000000"/>
              </a:solidFill>
            </a:rPr>
            <a:t> 
</a:t>
          </a:r>
          <a:r>
            <a:rPr lang="en-US" cap="none" sz="1200" b="1" i="1" u="none" baseline="0">
              <a:solidFill>
                <a:srgbClr val="000000"/>
              </a:solidFill>
            </a:rPr>
            <a:t>-  In caso di adozione da parte del Gestore dell’impianto, di certificazioni ambientali, alla Tariffa così calcolata si applicherà un ulteriore sconto (C</a:t>
          </a:r>
          <a:r>
            <a:rPr lang="en-US" cap="none" sz="1200" b="1" i="1" u="none" baseline="-25000">
              <a:solidFill>
                <a:srgbClr val="000000"/>
              </a:solidFill>
            </a:rPr>
            <a:t>SGA</a:t>
          </a:r>
          <a:r>
            <a:rPr lang="en-US" cap="none" sz="1200" b="1" i="1" u="none" baseline="0">
              <a:solidFill>
                <a:srgbClr val="000000"/>
              </a:solidFill>
            </a:rPr>
            <a:t>) secondo le modalità specificate al </a:t>
          </a:r>
          <a:r>
            <a:rPr lang="en-US" cap="none" sz="1200" b="1" i="1" u="sng" baseline="0">
              <a:solidFill>
                <a:srgbClr val="000000"/>
              </a:solidFill>
            </a:rPr>
            <a:t>punto 6</a:t>
          </a:r>
          <a:r>
            <a:rPr lang="en-US" cap="none" sz="1200" b="1" i="1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1533525</xdr:colOff>
      <xdr:row>155</xdr:row>
      <xdr:rowOff>247650</xdr:rowOff>
    </xdr:from>
    <xdr:to>
      <xdr:col>9</xdr:col>
      <xdr:colOff>342900</xdr:colOff>
      <xdr:row>161</xdr:row>
      <xdr:rowOff>171450</xdr:rowOff>
    </xdr:to>
    <xdr:sp>
      <xdr:nvSpPr>
        <xdr:cNvPr id="14" name="Callout 1 18"/>
        <xdr:cNvSpPr>
          <a:spLocks/>
        </xdr:cNvSpPr>
      </xdr:nvSpPr>
      <xdr:spPr>
        <a:xfrm>
          <a:off x="9991725" y="33909000"/>
          <a:ext cx="5591175" cy="1123950"/>
        </a:xfrm>
        <a:prstGeom prst="borderCallout1">
          <a:avLst>
            <a:gd name="adj1" fmla="val -78675"/>
            <a:gd name="adj2" fmla="val -106148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selezionare</a:t>
          </a:r>
          <a:r>
            <a:rPr lang="en-US" cap="none" sz="1100" b="1" i="0" u="none" baseline="0">
              <a:solidFill>
                <a:srgbClr val="000000"/>
              </a:solidFill>
            </a:rPr>
            <a:t> il codice corrispondente alla tipologia di procedimento autorizzativo:
</a:t>
          </a:r>
          <a:r>
            <a:rPr lang="en-US" cap="none" sz="1100" b="1" i="0" u="none" baseline="0">
              <a:solidFill>
                <a:srgbClr val="000000"/>
              </a:solidFill>
            </a:rPr>
            <a:t>2 - impianto nuovo/prima AIA
</a:t>
          </a:r>
          <a:r>
            <a:rPr lang="en-US" cap="none" sz="1100" b="1" i="0" u="none" baseline="0">
              <a:solidFill>
                <a:srgbClr val="000000"/>
              </a:solidFill>
            </a:rPr>
            <a:t>3 - modifica sostanzaile;
</a:t>
          </a:r>
          <a:r>
            <a:rPr lang="en-US" cap="none" sz="1100" b="1" i="0" u="none" baseline="0">
              <a:solidFill>
                <a:srgbClr val="000000"/>
              </a:solidFill>
            </a:rPr>
            <a:t>4 - Rinnovo tal quale
</a:t>
          </a:r>
        </a:p>
      </xdr:txBody>
    </xdr:sp>
    <xdr:clientData/>
  </xdr:twoCellAnchor>
  <xdr:twoCellAnchor>
    <xdr:from>
      <xdr:col>5</xdr:col>
      <xdr:colOff>1209675</xdr:colOff>
      <xdr:row>51</xdr:row>
      <xdr:rowOff>114300</xdr:rowOff>
    </xdr:from>
    <xdr:to>
      <xdr:col>10</xdr:col>
      <xdr:colOff>200025</xdr:colOff>
      <xdr:row>54</xdr:row>
      <xdr:rowOff>19050</xdr:rowOff>
    </xdr:to>
    <xdr:sp>
      <xdr:nvSpPr>
        <xdr:cNvPr id="15" name="Callout 1 16"/>
        <xdr:cNvSpPr>
          <a:spLocks/>
        </xdr:cNvSpPr>
      </xdr:nvSpPr>
      <xdr:spPr>
        <a:xfrm>
          <a:off x="11525250" y="10944225"/>
          <a:ext cx="4752975" cy="628650"/>
        </a:xfrm>
        <a:prstGeom prst="borderCallout1">
          <a:avLst>
            <a:gd name="adj1" fmla="val -120439"/>
            <a:gd name="adj2" fmla="val 23995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inserire il</a:t>
          </a:r>
          <a:r>
            <a:rPr lang="en-US" cap="none" sz="1100" b="1" i="0" u="none" baseline="0">
              <a:solidFill>
                <a:srgbClr val="000000"/>
              </a:solidFill>
            </a:rPr>
            <a:t> numero di scarichi con n. di inquinanti compreso nel range indicato
</a:t>
          </a:r>
        </a:p>
      </xdr:txBody>
    </xdr:sp>
    <xdr:clientData/>
  </xdr:twoCellAnchor>
  <xdr:twoCellAnchor>
    <xdr:from>
      <xdr:col>5</xdr:col>
      <xdr:colOff>1247775</xdr:colOff>
      <xdr:row>55</xdr:row>
      <xdr:rowOff>0</xdr:rowOff>
    </xdr:from>
    <xdr:to>
      <xdr:col>10</xdr:col>
      <xdr:colOff>247650</xdr:colOff>
      <xdr:row>59</xdr:row>
      <xdr:rowOff>190500</xdr:rowOff>
    </xdr:to>
    <xdr:sp>
      <xdr:nvSpPr>
        <xdr:cNvPr id="16" name="Callout 1 19"/>
        <xdr:cNvSpPr>
          <a:spLocks/>
        </xdr:cNvSpPr>
      </xdr:nvSpPr>
      <xdr:spPr>
        <a:xfrm>
          <a:off x="11563350" y="11744325"/>
          <a:ext cx="4762500" cy="952500"/>
        </a:xfrm>
        <a:prstGeom prst="borderCallout1">
          <a:avLst>
            <a:gd name="adj1" fmla="val -94078"/>
            <a:gd name="adj2" fmla="val -76148"/>
          </a:avLst>
        </a:prstGeom>
        <a:solidFill>
          <a:srgbClr val="FFFFFF"/>
        </a:solidFill>
        <a:ln w="25400" cmpd="sng">
          <a:solidFill>
            <a:srgbClr val="A5C2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sulla base della 'tabella C' sarà automaticamente indivividuata la tariffa per ogni classe di scarico, dall'incrocio dell'informazione relativa a "numero di inquinanti" e "numero di scarichi"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i\espositor\Desktop\TARIFFA%20MODIF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 2 - TARIFFA MOD. NON SOS"/>
      <sheetName val="calcoli MOD. NON SOT"/>
      <sheetName val="REPORT FINALE"/>
    </sheetNames>
  </externalBook>
</externalLink>
</file>

<file path=xl/theme/theme1.xml><?xml version="1.0" encoding="utf-8"?>
<a:theme xmlns:a="http://schemas.openxmlformats.org/drawingml/2006/main" name="Office Theme">
  <a:themeElements>
    <a:clrScheme name="Equinozi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22"/>
  <sheetViews>
    <sheetView zoomScale="75" zoomScaleNormal="75" zoomScaleSheetLayoutView="100" workbookViewId="0" topLeftCell="A1">
      <selection activeCell="C2" sqref="C2:I3"/>
    </sheetView>
  </sheetViews>
  <sheetFormatPr defaultColWidth="8.796875" defaultRowHeight="14.25"/>
  <cols>
    <col min="1" max="1" width="20" style="3" customWidth="1"/>
    <col min="2" max="2" width="12" style="3" customWidth="1"/>
    <col min="3" max="3" width="33.09765625" style="3" customWidth="1"/>
    <col min="4" max="4" width="14.09765625" style="3" customWidth="1"/>
    <col min="5" max="5" width="13" style="3" customWidth="1"/>
    <col min="6" max="6" width="25.59765625" style="3" customWidth="1"/>
    <col min="7" max="7" width="11.796875" style="3" customWidth="1"/>
    <col min="8" max="8" width="10.296875" style="3" customWidth="1"/>
    <col min="9" max="16384" width="8.796875" style="3" customWidth="1"/>
  </cols>
  <sheetData>
    <row r="1" ht="15" thickBot="1"/>
    <row r="2" spans="3:9" ht="15" customHeight="1">
      <c r="C2" s="425" t="s">
        <v>115</v>
      </c>
      <c r="D2" s="426"/>
      <c r="E2" s="426"/>
      <c r="F2" s="426"/>
      <c r="G2" s="426"/>
      <c r="H2" s="426"/>
      <c r="I2" s="427"/>
    </row>
    <row r="3" spans="3:9" ht="25.5" customHeight="1" thickBot="1">
      <c r="C3" s="428"/>
      <c r="D3" s="429"/>
      <c r="E3" s="429"/>
      <c r="F3" s="429"/>
      <c r="G3" s="429"/>
      <c r="H3" s="429"/>
      <c r="I3" s="430"/>
    </row>
    <row r="5" spans="1:7" ht="14.25">
      <c r="A5" s="422" t="s">
        <v>113</v>
      </c>
      <c r="B5" s="423"/>
      <c r="C5" s="423"/>
      <c r="D5" s="423"/>
      <c r="E5" s="423"/>
      <c r="F5" s="423"/>
      <c r="G5" s="424"/>
    </row>
    <row r="6" spans="1:7" ht="15">
      <c r="A6" s="431" t="s">
        <v>144</v>
      </c>
      <c r="B6" s="432"/>
      <c r="C6" s="432"/>
      <c r="D6" s="432"/>
      <c r="E6" s="432"/>
      <c r="F6" s="433"/>
      <c r="G6" s="4"/>
    </row>
    <row r="7" spans="1:9" ht="14.25">
      <c r="A7" s="431" t="s">
        <v>145</v>
      </c>
      <c r="B7" s="432"/>
      <c r="C7" s="432"/>
      <c r="D7" s="432"/>
      <c r="E7" s="432"/>
      <c r="F7" s="433"/>
      <c r="G7" s="5"/>
      <c r="I7" s="6"/>
    </row>
    <row r="8" spans="1:7" ht="14.25" customHeight="1">
      <c r="A8" s="434" t="s">
        <v>158</v>
      </c>
      <c r="B8" s="435"/>
      <c r="C8" s="435"/>
      <c r="D8" s="435"/>
      <c r="E8" s="435"/>
      <c r="F8" s="435"/>
      <c r="G8" s="436"/>
    </row>
    <row r="9" spans="1:7" ht="15" customHeight="1" thickBot="1">
      <c r="A9" s="437"/>
      <c r="B9" s="438"/>
      <c r="C9" s="438"/>
      <c r="D9" s="438"/>
      <c r="E9" s="438"/>
      <c r="F9" s="438"/>
      <c r="G9" s="439"/>
    </row>
    <row r="10" spans="10:18" ht="15.75" customHeight="1" thickBot="1">
      <c r="J10" s="382" t="s">
        <v>114</v>
      </c>
      <c r="K10" s="383"/>
      <c r="L10" s="383"/>
      <c r="M10" s="383"/>
      <c r="N10" s="383"/>
      <c r="O10" s="383"/>
      <c r="P10" s="383"/>
      <c r="Q10" s="383"/>
      <c r="R10" s="384"/>
    </row>
    <row r="11" spans="1:18" ht="15" thickBot="1">
      <c r="A11" s="388" t="s">
        <v>112</v>
      </c>
      <c r="B11" s="389"/>
      <c r="C11" s="390"/>
      <c r="J11" s="385"/>
      <c r="K11" s="386"/>
      <c r="L11" s="386"/>
      <c r="M11" s="386"/>
      <c r="N11" s="386"/>
      <c r="O11" s="386"/>
      <c r="P11" s="386"/>
      <c r="Q11" s="386"/>
      <c r="R11" s="387"/>
    </row>
    <row r="12" spans="1:3" ht="15" thickBot="1">
      <c r="A12" s="440" t="s">
        <v>126</v>
      </c>
      <c r="B12" s="441"/>
      <c r="C12" s="25"/>
    </row>
    <row r="13" spans="1:8" ht="15" customHeight="1" thickBot="1">
      <c r="A13" s="305" t="s">
        <v>81</v>
      </c>
      <c r="B13" s="306"/>
      <c r="C13" s="26"/>
      <c r="E13" s="391" t="s">
        <v>85</v>
      </c>
      <c r="F13" s="392"/>
      <c r="G13" s="392"/>
      <c r="H13" s="393"/>
    </row>
    <row r="14" spans="1:18" ht="15" customHeight="1">
      <c r="A14" s="305" t="s">
        <v>99</v>
      </c>
      <c r="B14" s="306"/>
      <c r="C14" s="27"/>
      <c r="E14" s="70">
        <v>1</v>
      </c>
      <c r="F14" s="298" t="s">
        <v>94</v>
      </c>
      <c r="G14" s="298"/>
      <c r="H14" s="342"/>
      <c r="J14" s="442" t="s">
        <v>146</v>
      </c>
      <c r="K14" s="404"/>
      <c r="L14" s="404"/>
      <c r="M14" s="404"/>
      <c r="N14" s="404"/>
      <c r="O14" s="404"/>
      <c r="P14" s="404"/>
      <c r="Q14" s="404"/>
      <c r="R14" s="405"/>
    </row>
    <row r="15" spans="1:18" ht="15" customHeight="1">
      <c r="A15" s="305" t="s">
        <v>82</v>
      </c>
      <c r="B15" s="306"/>
      <c r="C15" s="27"/>
      <c r="E15" s="7">
        <v>2</v>
      </c>
      <c r="F15" s="345" t="s">
        <v>95</v>
      </c>
      <c r="G15" s="345"/>
      <c r="H15" s="343"/>
      <c r="J15" s="406"/>
      <c r="K15" s="407"/>
      <c r="L15" s="407"/>
      <c r="M15" s="407"/>
      <c r="N15" s="407"/>
      <c r="O15" s="407"/>
      <c r="P15" s="407"/>
      <c r="Q15" s="407"/>
      <c r="R15" s="408"/>
    </row>
    <row r="16" spans="1:18" ht="15" customHeight="1">
      <c r="A16" s="305" t="s">
        <v>83</v>
      </c>
      <c r="B16" s="306"/>
      <c r="C16" s="27"/>
      <c r="E16" s="7">
        <v>3</v>
      </c>
      <c r="F16" s="345" t="s">
        <v>86</v>
      </c>
      <c r="G16" s="345"/>
      <c r="H16" s="343"/>
      <c r="J16" s="406"/>
      <c r="K16" s="407"/>
      <c r="L16" s="407"/>
      <c r="M16" s="407"/>
      <c r="N16" s="407"/>
      <c r="O16" s="407"/>
      <c r="P16" s="407"/>
      <c r="Q16" s="407"/>
      <c r="R16" s="408"/>
    </row>
    <row r="17" spans="1:18" ht="15" thickBot="1">
      <c r="A17" s="339" t="s">
        <v>84</v>
      </c>
      <c r="B17" s="340"/>
      <c r="C17" s="28"/>
      <c r="E17" s="8">
        <v>4</v>
      </c>
      <c r="F17" s="421" t="s">
        <v>87</v>
      </c>
      <c r="G17" s="421"/>
      <c r="H17" s="344"/>
      <c r="J17" s="409"/>
      <c r="K17" s="410"/>
      <c r="L17" s="410"/>
      <c r="M17" s="410"/>
      <c r="N17" s="410"/>
      <c r="O17" s="410"/>
      <c r="P17" s="410"/>
      <c r="Q17" s="410"/>
      <c r="R17" s="411"/>
    </row>
    <row r="18" spans="1:2" ht="15" thickBot="1">
      <c r="A18" s="341"/>
      <c r="B18" s="341"/>
    </row>
    <row r="19" spans="1:3" ht="35.25" customHeight="1" thickBot="1">
      <c r="A19" s="9"/>
      <c r="B19" s="9"/>
      <c r="C19" s="313" t="s">
        <v>125</v>
      </c>
    </row>
    <row r="20" spans="1:18" ht="15.75" customHeight="1" thickBot="1">
      <c r="A20" s="9"/>
      <c r="B20" s="9"/>
      <c r="C20" s="314"/>
      <c r="E20" s="394" t="s">
        <v>110</v>
      </c>
      <c r="F20" s="395"/>
      <c r="G20" s="395"/>
      <c r="H20" s="396"/>
      <c r="J20" s="412" t="s">
        <v>143</v>
      </c>
      <c r="K20" s="413"/>
      <c r="L20" s="413"/>
      <c r="M20" s="413"/>
      <c r="N20" s="413"/>
      <c r="O20" s="413"/>
      <c r="P20" s="413"/>
      <c r="Q20" s="413"/>
      <c r="R20" s="414"/>
    </row>
    <row r="21" spans="5:18" ht="15" customHeight="1">
      <c r="E21" s="309" t="s">
        <v>92</v>
      </c>
      <c r="F21" s="310"/>
      <c r="G21" s="310"/>
      <c r="H21" s="29"/>
      <c r="J21" s="415"/>
      <c r="K21" s="416"/>
      <c r="L21" s="416"/>
      <c r="M21" s="416"/>
      <c r="N21" s="416"/>
      <c r="O21" s="416"/>
      <c r="P21" s="416"/>
      <c r="Q21" s="416"/>
      <c r="R21" s="417"/>
    </row>
    <row r="22" spans="5:18" ht="15" customHeight="1" thickBot="1">
      <c r="E22" s="307" t="s">
        <v>93</v>
      </c>
      <c r="F22" s="308"/>
      <c r="G22" s="308"/>
      <c r="H22" s="28"/>
      <c r="J22" s="415"/>
      <c r="K22" s="416"/>
      <c r="L22" s="416"/>
      <c r="M22" s="416"/>
      <c r="N22" s="416"/>
      <c r="O22" s="416"/>
      <c r="P22" s="416"/>
      <c r="Q22" s="416"/>
      <c r="R22" s="417"/>
    </row>
    <row r="23" spans="10:18" ht="15" customHeight="1" thickBot="1">
      <c r="J23" s="418"/>
      <c r="K23" s="419"/>
      <c r="L23" s="419"/>
      <c r="M23" s="419"/>
      <c r="N23" s="419"/>
      <c r="O23" s="419"/>
      <c r="P23" s="419"/>
      <c r="Q23" s="419"/>
      <c r="R23" s="420"/>
    </row>
    <row r="24" ht="15" customHeight="1" thickBot="1"/>
    <row r="25" spans="1:3" ht="18.75" thickBot="1">
      <c r="A25" s="299" t="s">
        <v>133</v>
      </c>
      <c r="B25" s="300"/>
      <c r="C25" s="301"/>
    </row>
    <row r="26" ht="15" thickBot="1">
      <c r="B26" s="6"/>
    </row>
    <row r="27" spans="1:8" ht="14.25" customHeight="1" thickBot="1">
      <c r="A27" s="349" t="s">
        <v>2</v>
      </c>
      <c r="B27" s="350"/>
      <c r="C27" s="350"/>
      <c r="D27" s="350"/>
      <c r="E27" s="350"/>
      <c r="F27" s="351"/>
      <c r="G27" s="10" t="s">
        <v>65</v>
      </c>
      <c r="H27" s="11"/>
    </row>
    <row r="28" spans="1:23" ht="15" customHeight="1">
      <c r="A28" s="397" t="s">
        <v>128</v>
      </c>
      <c r="B28" s="398"/>
      <c r="C28" s="398"/>
      <c r="D28" s="398"/>
      <c r="E28" s="398"/>
      <c r="F28" s="399"/>
      <c r="G28" s="346"/>
      <c r="H28" s="12"/>
      <c r="I28" s="403" t="s">
        <v>127</v>
      </c>
      <c r="J28" s="404"/>
      <c r="K28" s="404"/>
      <c r="L28" s="404"/>
      <c r="M28" s="404"/>
      <c r="N28" s="404"/>
      <c r="O28" s="404"/>
      <c r="P28" s="404"/>
      <c r="Q28" s="404"/>
      <c r="R28" s="405"/>
      <c r="S28" s="13"/>
      <c r="T28" s="13"/>
      <c r="U28" s="14"/>
      <c r="V28" s="14"/>
      <c r="W28" s="14"/>
    </row>
    <row r="29" spans="1:20" ht="14.25" customHeight="1">
      <c r="A29" s="397" t="s">
        <v>5</v>
      </c>
      <c r="B29" s="398"/>
      <c r="C29" s="398"/>
      <c r="D29" s="398"/>
      <c r="E29" s="398"/>
      <c r="F29" s="399"/>
      <c r="G29" s="347"/>
      <c r="H29" s="12"/>
      <c r="I29" s="406"/>
      <c r="J29" s="407"/>
      <c r="K29" s="407"/>
      <c r="L29" s="407"/>
      <c r="M29" s="407"/>
      <c r="N29" s="407"/>
      <c r="O29" s="407"/>
      <c r="P29" s="407"/>
      <c r="Q29" s="407"/>
      <c r="R29" s="408"/>
      <c r="S29" s="13"/>
      <c r="T29" s="13"/>
    </row>
    <row r="30" spans="1:18" ht="15" customHeight="1" thickBot="1">
      <c r="A30" s="400" t="s">
        <v>4</v>
      </c>
      <c r="B30" s="401"/>
      <c r="C30" s="401"/>
      <c r="D30" s="401"/>
      <c r="E30" s="401"/>
      <c r="F30" s="402"/>
      <c r="G30" s="348"/>
      <c r="H30" s="12"/>
      <c r="I30" s="409"/>
      <c r="J30" s="410"/>
      <c r="K30" s="410"/>
      <c r="L30" s="410"/>
      <c r="M30" s="410"/>
      <c r="N30" s="410"/>
      <c r="O30" s="410"/>
      <c r="P30" s="410"/>
      <c r="Q30" s="410"/>
      <c r="R30" s="411"/>
    </row>
    <row r="32" spans="6:8" ht="18">
      <c r="F32" s="15" t="s">
        <v>100</v>
      </c>
      <c r="G32" s="2">
        <f>'Calcoli Foglio1'!G31</f>
        <v>0</v>
      </c>
      <c r="H32" s="16"/>
    </row>
    <row r="35" ht="15" thickBot="1"/>
    <row r="36" spans="1:3" ht="18.75" thickBot="1">
      <c r="A36" s="299" t="s">
        <v>134</v>
      </c>
      <c r="B36" s="300"/>
      <c r="C36" s="301"/>
    </row>
    <row r="37" spans="9:18" ht="15" thickBot="1">
      <c r="I37" s="315" t="s">
        <v>22</v>
      </c>
      <c r="J37" s="316"/>
      <c r="K37" s="316"/>
      <c r="L37" s="316"/>
      <c r="M37" s="316"/>
      <c r="N37" s="316"/>
      <c r="O37" s="316"/>
      <c r="P37" s="316"/>
      <c r="Q37" s="316"/>
      <c r="R37" s="317"/>
    </row>
    <row r="38" spans="1:18" ht="14.25">
      <c r="A38" s="352" t="s">
        <v>8</v>
      </c>
      <c r="B38" s="353"/>
      <c r="C38" s="353"/>
      <c r="D38" s="30"/>
      <c r="I38" s="318"/>
      <c r="J38" s="319"/>
      <c r="K38" s="319"/>
      <c r="L38" s="319"/>
      <c r="M38" s="319"/>
      <c r="N38" s="319"/>
      <c r="O38" s="319"/>
      <c r="P38" s="319"/>
      <c r="Q38" s="319"/>
      <c r="R38" s="320"/>
    </row>
    <row r="39" spans="1:18" ht="18.75" thickBot="1">
      <c r="A39" s="307" t="s">
        <v>9</v>
      </c>
      <c r="B39" s="308"/>
      <c r="C39" s="308"/>
      <c r="D39" s="31"/>
      <c r="F39" s="15" t="s">
        <v>101</v>
      </c>
      <c r="G39" s="2" t="e">
        <f>'Calcoli Foglio1'!#REF!</f>
        <v>#REF!</v>
      </c>
      <c r="I39" s="321"/>
      <c r="J39" s="322"/>
      <c r="K39" s="322"/>
      <c r="L39" s="322"/>
      <c r="M39" s="322"/>
      <c r="N39" s="322"/>
      <c r="O39" s="322"/>
      <c r="P39" s="322"/>
      <c r="Q39" s="322"/>
      <c r="R39" s="323"/>
    </row>
    <row r="41" ht="15" thickBot="1"/>
    <row r="42" spans="1:3" ht="18.75" thickBot="1">
      <c r="A42" s="299" t="s">
        <v>135</v>
      </c>
      <c r="B42" s="300"/>
      <c r="C42" s="301"/>
    </row>
    <row r="43" spans="9:18" ht="15" customHeight="1" thickBot="1">
      <c r="I43" s="315" t="s">
        <v>25</v>
      </c>
      <c r="J43" s="316"/>
      <c r="K43" s="316"/>
      <c r="L43" s="316"/>
      <c r="M43" s="316"/>
      <c r="N43" s="316"/>
      <c r="O43" s="316"/>
      <c r="P43" s="316"/>
      <c r="Q43" s="316"/>
      <c r="R43" s="317"/>
    </row>
    <row r="44" spans="1:18" ht="14.25">
      <c r="A44" s="352" t="s">
        <v>24</v>
      </c>
      <c r="B44" s="353"/>
      <c r="C44" s="353"/>
      <c r="D44" s="30"/>
      <c r="I44" s="318"/>
      <c r="J44" s="319"/>
      <c r="K44" s="319"/>
      <c r="L44" s="319"/>
      <c r="M44" s="319"/>
      <c r="N44" s="319"/>
      <c r="O44" s="319"/>
      <c r="P44" s="319"/>
      <c r="Q44" s="319"/>
      <c r="R44" s="320"/>
    </row>
    <row r="45" spans="1:18" ht="18.75" thickBot="1">
      <c r="A45" s="307" t="s">
        <v>9</v>
      </c>
      <c r="B45" s="308"/>
      <c r="C45" s="308"/>
      <c r="D45" s="31"/>
      <c r="F45" s="15" t="s">
        <v>102</v>
      </c>
      <c r="G45" s="2" t="e">
        <f>'Calcoli Foglio1'!#REF!</f>
        <v>#REF!</v>
      </c>
      <c r="I45" s="321"/>
      <c r="J45" s="322"/>
      <c r="K45" s="322"/>
      <c r="L45" s="322"/>
      <c r="M45" s="322"/>
      <c r="N45" s="322"/>
      <c r="O45" s="322"/>
      <c r="P45" s="322"/>
      <c r="Q45" s="322"/>
      <c r="R45" s="323"/>
    </row>
    <row r="47" ht="15" thickBot="1"/>
    <row r="48" spans="1:3" ht="18.75" thickBot="1">
      <c r="A48" s="299" t="s">
        <v>136</v>
      </c>
      <c r="B48" s="300"/>
      <c r="C48" s="301"/>
    </row>
    <row r="49" ht="15" thickBot="1"/>
    <row r="50" spans="1:18" ht="18">
      <c r="A50" s="352" t="s">
        <v>34</v>
      </c>
      <c r="B50" s="353"/>
      <c r="C50" s="353"/>
      <c r="D50" s="32"/>
      <c r="F50" s="15" t="s">
        <v>103</v>
      </c>
      <c r="G50" s="2">
        <f>'Calcoli Foglio1'!G83</f>
        <v>0</v>
      </c>
      <c r="I50" s="363" t="s">
        <v>147</v>
      </c>
      <c r="J50" s="364"/>
      <c r="K50" s="364"/>
      <c r="L50" s="364"/>
      <c r="M50" s="364"/>
      <c r="N50" s="364"/>
      <c r="O50" s="364"/>
      <c r="P50" s="364"/>
      <c r="Q50" s="364"/>
      <c r="R50" s="365"/>
    </row>
    <row r="51" spans="1:18" ht="18.75" thickBot="1">
      <c r="A51" s="307" t="s">
        <v>35</v>
      </c>
      <c r="B51" s="308"/>
      <c r="C51" s="308"/>
      <c r="D51" s="28"/>
      <c r="F51" s="15" t="s">
        <v>104</v>
      </c>
      <c r="G51" s="2">
        <f>'Calcoli Foglio1'!G84</f>
        <v>0</v>
      </c>
      <c r="I51" s="366"/>
      <c r="J51" s="367"/>
      <c r="K51" s="367"/>
      <c r="L51" s="367"/>
      <c r="M51" s="367"/>
      <c r="N51" s="367"/>
      <c r="O51" s="367"/>
      <c r="P51" s="367"/>
      <c r="Q51" s="367"/>
      <c r="R51" s="368"/>
    </row>
    <row r="52" spans="1:18" ht="15" thickBot="1">
      <c r="A52" s="17"/>
      <c r="B52" s="17"/>
      <c r="C52" s="17"/>
      <c r="F52" s="18"/>
      <c r="G52" s="19"/>
      <c r="I52" s="369"/>
      <c r="J52" s="370"/>
      <c r="K52" s="370"/>
      <c r="L52" s="370"/>
      <c r="M52" s="370"/>
      <c r="N52" s="370"/>
      <c r="O52" s="370"/>
      <c r="P52" s="370"/>
      <c r="Q52" s="370"/>
      <c r="R52" s="371"/>
    </row>
    <row r="53" spans="1:7" ht="14.25">
      <c r="A53" s="17"/>
      <c r="B53" s="17"/>
      <c r="C53" s="17"/>
      <c r="F53" s="18"/>
      <c r="G53" s="19"/>
    </row>
    <row r="54" ht="15" thickBot="1"/>
    <row r="55" spans="1:18" ht="15.75" customHeight="1" thickBot="1">
      <c r="A55" s="337" t="s">
        <v>36</v>
      </c>
      <c r="B55" s="338"/>
      <c r="C55" s="338"/>
      <c r="D55" s="33"/>
      <c r="F55" s="15" t="s">
        <v>52</v>
      </c>
      <c r="G55" s="2">
        <f>'Calcoli Foglio1'!F98</f>
        <v>0</v>
      </c>
      <c r="I55" s="324" t="s">
        <v>129</v>
      </c>
      <c r="J55" s="325"/>
      <c r="K55" s="325"/>
      <c r="L55" s="325"/>
      <c r="M55" s="325"/>
      <c r="N55" s="325"/>
      <c r="O55" s="325"/>
      <c r="P55" s="325"/>
      <c r="Q55" s="325"/>
      <c r="R55" s="326"/>
    </row>
    <row r="56" spans="9:18" ht="15" thickBot="1">
      <c r="I56" s="330"/>
      <c r="J56" s="331"/>
      <c r="K56" s="331"/>
      <c r="L56" s="331"/>
      <c r="M56" s="331"/>
      <c r="N56" s="331"/>
      <c r="O56" s="331"/>
      <c r="P56" s="331"/>
      <c r="Q56" s="331"/>
      <c r="R56" s="332"/>
    </row>
    <row r="57" ht="15" thickBot="1"/>
    <row r="58" spans="1:3" ht="15" thickBot="1">
      <c r="A58" s="299" t="s">
        <v>53</v>
      </c>
      <c r="B58" s="300"/>
      <c r="C58" s="301"/>
    </row>
    <row r="59" ht="15" thickBot="1"/>
    <row r="60" spans="1:5" ht="15" thickBot="1">
      <c r="A60" s="302" t="s">
        <v>54</v>
      </c>
      <c r="B60" s="303"/>
      <c r="C60" s="303"/>
      <c r="D60" s="303"/>
      <c r="E60" s="304"/>
    </row>
    <row r="61" spans="1:18" ht="17.25" customHeight="1">
      <c r="A61" s="309" t="s">
        <v>55</v>
      </c>
      <c r="B61" s="310"/>
      <c r="C61" s="310"/>
      <c r="D61" s="310"/>
      <c r="E61" s="59" t="s">
        <v>159</v>
      </c>
      <c r="F61" s="20" t="s">
        <v>137</v>
      </c>
      <c r="G61" s="21">
        <f>'Calcoli Foglio1'!F116</f>
        <v>0</v>
      </c>
      <c r="I61" s="354" t="s">
        <v>130</v>
      </c>
      <c r="J61" s="355"/>
      <c r="K61" s="355"/>
      <c r="L61" s="355"/>
      <c r="M61" s="355"/>
      <c r="N61" s="355"/>
      <c r="O61" s="355"/>
      <c r="P61" s="355"/>
      <c r="Q61" s="355"/>
      <c r="R61" s="356"/>
    </row>
    <row r="62" spans="1:18" ht="17.25">
      <c r="A62" s="309" t="s">
        <v>56</v>
      </c>
      <c r="B62" s="310"/>
      <c r="C62" s="310"/>
      <c r="D62" s="310"/>
      <c r="E62" s="29"/>
      <c r="F62" s="20" t="s">
        <v>138</v>
      </c>
      <c r="G62" s="21">
        <f>'Calcoli Foglio1'!G106</f>
        <v>0</v>
      </c>
      <c r="I62" s="357"/>
      <c r="J62" s="358"/>
      <c r="K62" s="358"/>
      <c r="L62" s="358"/>
      <c r="M62" s="358"/>
      <c r="N62" s="358"/>
      <c r="O62" s="358"/>
      <c r="P62" s="358"/>
      <c r="Q62" s="358"/>
      <c r="R62" s="359"/>
    </row>
    <row r="63" spans="1:18" ht="18" thickBot="1">
      <c r="A63" s="309" t="s">
        <v>57</v>
      </c>
      <c r="B63" s="310"/>
      <c r="C63" s="310"/>
      <c r="D63" s="310"/>
      <c r="E63" s="29"/>
      <c r="F63" s="20" t="s">
        <v>139</v>
      </c>
      <c r="G63" s="21">
        <f>'Calcoli Foglio1'!G107</f>
        <v>0</v>
      </c>
      <c r="I63" s="360"/>
      <c r="J63" s="361"/>
      <c r="K63" s="361"/>
      <c r="L63" s="361"/>
      <c r="M63" s="361"/>
      <c r="N63" s="361"/>
      <c r="O63" s="361"/>
      <c r="P63" s="361"/>
      <c r="Q63" s="361"/>
      <c r="R63" s="362"/>
    </row>
    <row r="64" spans="1:7" ht="17.25">
      <c r="A64" s="309" t="s">
        <v>58</v>
      </c>
      <c r="B64" s="310"/>
      <c r="C64" s="310"/>
      <c r="D64" s="310"/>
      <c r="E64" s="29"/>
      <c r="F64" s="20" t="s">
        <v>140</v>
      </c>
      <c r="G64" s="21">
        <f>'Calcoli Foglio1'!G108</f>
        <v>0</v>
      </c>
    </row>
    <row r="65" spans="1:7" ht="18" thickBot="1">
      <c r="A65" s="307" t="s">
        <v>59</v>
      </c>
      <c r="B65" s="308"/>
      <c r="C65" s="308"/>
      <c r="D65" s="308"/>
      <c r="E65" s="28"/>
      <c r="F65" s="20" t="s">
        <v>141</v>
      </c>
      <c r="G65" s="21">
        <f>'Calcoli Foglio1'!G109</f>
        <v>0</v>
      </c>
    </row>
    <row r="66" spans="6:7" ht="14.25">
      <c r="F66" s="6"/>
      <c r="G66" s="6"/>
    </row>
    <row r="67" spans="6:7" ht="14.25">
      <c r="F67" s="22" t="s">
        <v>67</v>
      </c>
      <c r="G67" s="2">
        <f>SUM(G61:G65)</f>
        <v>0</v>
      </c>
    </row>
    <row r="69" ht="15" thickBot="1"/>
    <row r="70" spans="1:6" ht="15" thickBot="1">
      <c r="A70" s="335" t="s">
        <v>160</v>
      </c>
      <c r="B70" s="336"/>
      <c r="C70" s="336"/>
      <c r="D70" s="336"/>
      <c r="E70" s="336"/>
      <c r="F70" s="10" t="s">
        <v>108</v>
      </c>
    </row>
    <row r="71" spans="1:18" ht="27.75" customHeight="1">
      <c r="A71" s="311" t="s">
        <v>161</v>
      </c>
      <c r="B71" s="312"/>
      <c r="C71" s="312"/>
      <c r="D71" s="312"/>
      <c r="E71" s="312"/>
      <c r="F71" s="333">
        <v>1</v>
      </c>
      <c r="I71" s="324" t="s">
        <v>142</v>
      </c>
      <c r="J71" s="325"/>
      <c r="K71" s="325"/>
      <c r="L71" s="325"/>
      <c r="M71" s="325"/>
      <c r="N71" s="325"/>
      <c r="O71" s="325"/>
      <c r="P71" s="325"/>
      <c r="Q71" s="325"/>
      <c r="R71" s="326"/>
    </row>
    <row r="72" spans="1:18" ht="27.75" customHeight="1">
      <c r="A72" s="311" t="s">
        <v>61</v>
      </c>
      <c r="B72" s="312"/>
      <c r="C72" s="312"/>
      <c r="D72" s="312"/>
      <c r="E72" s="312"/>
      <c r="F72" s="333"/>
      <c r="I72" s="327"/>
      <c r="J72" s="328"/>
      <c r="K72" s="328"/>
      <c r="L72" s="328"/>
      <c r="M72" s="328"/>
      <c r="N72" s="328"/>
      <c r="O72" s="328"/>
      <c r="P72" s="328"/>
      <c r="Q72" s="328"/>
      <c r="R72" s="329"/>
    </row>
    <row r="73" spans="1:18" ht="27.75" customHeight="1" thickBot="1">
      <c r="A73" s="311" t="s">
        <v>62</v>
      </c>
      <c r="B73" s="312"/>
      <c r="C73" s="312"/>
      <c r="D73" s="312"/>
      <c r="E73" s="312"/>
      <c r="F73" s="333"/>
      <c r="I73" s="330"/>
      <c r="J73" s="331"/>
      <c r="K73" s="331"/>
      <c r="L73" s="331"/>
      <c r="M73" s="331"/>
      <c r="N73" s="331"/>
      <c r="O73" s="331"/>
      <c r="P73" s="331"/>
      <c r="Q73" s="331"/>
      <c r="R73" s="332"/>
    </row>
    <row r="74" spans="1:6" ht="27.75" customHeight="1">
      <c r="A74" s="311" t="s">
        <v>63</v>
      </c>
      <c r="B74" s="312"/>
      <c r="C74" s="312"/>
      <c r="D74" s="312"/>
      <c r="E74" s="312"/>
      <c r="F74" s="333"/>
    </row>
    <row r="75" spans="1:6" ht="15" thickBot="1">
      <c r="A75" s="372" t="s">
        <v>66</v>
      </c>
      <c r="B75" s="373"/>
      <c r="C75" s="373"/>
      <c r="D75" s="373"/>
      <c r="E75" s="373"/>
      <c r="F75" s="334"/>
    </row>
    <row r="77" ht="15" thickBot="1"/>
    <row r="78" spans="1:3" ht="15" thickBot="1">
      <c r="A78" s="299" t="s">
        <v>69</v>
      </c>
      <c r="B78" s="300"/>
      <c r="C78" s="301"/>
    </row>
    <row r="79" ht="15" thickBot="1"/>
    <row r="80" spans="1:18" ht="14.25">
      <c r="A80" s="302" t="s">
        <v>70</v>
      </c>
      <c r="B80" s="303"/>
      <c r="C80" s="303"/>
      <c r="D80" s="303"/>
      <c r="E80" s="304"/>
      <c r="I80" s="324" t="s">
        <v>131</v>
      </c>
      <c r="J80" s="325"/>
      <c r="K80" s="325"/>
      <c r="L80" s="325"/>
      <c r="M80" s="325"/>
      <c r="N80" s="325"/>
      <c r="O80" s="325"/>
      <c r="P80" s="325"/>
      <c r="Q80" s="325"/>
      <c r="R80" s="326"/>
    </row>
    <row r="81" spans="1:18" ht="15" thickBot="1">
      <c r="A81" s="309" t="s">
        <v>71</v>
      </c>
      <c r="B81" s="310"/>
      <c r="C81" s="310"/>
      <c r="D81" s="310"/>
      <c r="E81" s="29"/>
      <c r="I81" s="330"/>
      <c r="J81" s="331"/>
      <c r="K81" s="331"/>
      <c r="L81" s="331"/>
      <c r="M81" s="331"/>
      <c r="N81" s="331"/>
      <c r="O81" s="331"/>
      <c r="P81" s="331"/>
      <c r="Q81" s="331"/>
      <c r="R81" s="332"/>
    </row>
    <row r="82" spans="1:5" ht="15" thickBot="1">
      <c r="A82" s="307" t="s">
        <v>72</v>
      </c>
      <c r="B82" s="308"/>
      <c r="C82" s="308"/>
      <c r="D82" s="308"/>
      <c r="E82" s="28"/>
    </row>
    <row r="84" spans="6:7" ht="18">
      <c r="F84" s="22" t="s">
        <v>105</v>
      </c>
      <c r="G84" s="2" t="e">
        <f>'Calcoli Foglio1'!#REF!</f>
        <v>#REF!</v>
      </c>
    </row>
    <row r="86" ht="15" thickBot="1"/>
    <row r="87" spans="1:3" ht="15" thickBot="1">
      <c r="A87" s="299" t="s">
        <v>73</v>
      </c>
      <c r="B87" s="300"/>
      <c r="C87" s="301"/>
    </row>
    <row r="88" ht="15" thickBot="1"/>
    <row r="89" spans="1:18" ht="14.25">
      <c r="A89" s="302" t="s">
        <v>107</v>
      </c>
      <c r="B89" s="303"/>
      <c r="C89" s="303"/>
      <c r="D89" s="303"/>
      <c r="E89" s="304"/>
      <c r="I89" s="354" t="s">
        <v>132</v>
      </c>
      <c r="J89" s="355"/>
      <c r="K89" s="355"/>
      <c r="L89" s="355"/>
      <c r="M89" s="355"/>
      <c r="N89" s="355"/>
      <c r="O89" s="355"/>
      <c r="P89" s="355"/>
      <c r="Q89" s="355"/>
      <c r="R89" s="356"/>
    </row>
    <row r="90" spans="1:18" ht="14.25">
      <c r="A90" s="309" t="s">
        <v>75</v>
      </c>
      <c r="B90" s="310"/>
      <c r="C90" s="310"/>
      <c r="D90" s="310"/>
      <c r="E90" s="333"/>
      <c r="I90" s="357"/>
      <c r="J90" s="358"/>
      <c r="K90" s="358"/>
      <c r="L90" s="358"/>
      <c r="M90" s="358"/>
      <c r="N90" s="358"/>
      <c r="O90" s="358"/>
      <c r="P90" s="358"/>
      <c r="Q90" s="358"/>
      <c r="R90" s="359"/>
    </row>
    <row r="91" spans="1:18" ht="15" thickBot="1">
      <c r="A91" s="307" t="s">
        <v>76</v>
      </c>
      <c r="B91" s="308"/>
      <c r="C91" s="308"/>
      <c r="D91" s="308"/>
      <c r="E91" s="334"/>
      <c r="I91" s="360"/>
      <c r="J91" s="361"/>
      <c r="K91" s="361"/>
      <c r="L91" s="361"/>
      <c r="M91" s="361"/>
      <c r="N91" s="361"/>
      <c r="O91" s="361"/>
      <c r="P91" s="361"/>
      <c r="Q91" s="361"/>
      <c r="R91" s="362"/>
    </row>
    <row r="93" spans="6:7" ht="18">
      <c r="F93" s="22" t="s">
        <v>111</v>
      </c>
      <c r="G93" s="2">
        <f>'Calcoli Foglio1'!F125</f>
        <v>0</v>
      </c>
    </row>
    <row r="95" spans="6:7" ht="14.25">
      <c r="F95" s="22" t="s">
        <v>79</v>
      </c>
      <c r="G95" s="2" t="e">
        <f>'Calcoli Foglio1'!#REF!</f>
        <v>#REF!</v>
      </c>
    </row>
    <row r="98" ht="15" thickBot="1"/>
    <row r="99" spans="1:3" ht="15" thickBot="1">
      <c r="A99" s="299" t="s">
        <v>80</v>
      </c>
      <c r="B99" s="300"/>
      <c r="C99" s="301"/>
    </row>
    <row r="101" spans="1:2" ht="14.25">
      <c r="A101" s="23" t="s">
        <v>88</v>
      </c>
      <c r="B101" s="24">
        <f>'Calcoli Foglio1'!E132</f>
        <v>1.4</v>
      </c>
    </row>
    <row r="102" spans="1:2" ht="14.25">
      <c r="A102" s="23" t="s">
        <v>89</v>
      </c>
      <c r="B102" s="24" t="e">
        <f>'Calcoli Foglio1'!#REF!</f>
        <v>#REF!</v>
      </c>
    </row>
    <row r="103" spans="1:2" ht="14.25">
      <c r="A103" s="23" t="s">
        <v>90</v>
      </c>
      <c r="B103" s="24" t="e">
        <f>'Calcoli Foglio1'!#REF!</f>
        <v>#REF!</v>
      </c>
    </row>
    <row r="104" ht="15" thickBot="1"/>
    <row r="105" spans="1:3" ht="15" thickBot="1">
      <c r="A105" s="299" t="s">
        <v>96</v>
      </c>
      <c r="B105" s="300"/>
      <c r="C105" s="301"/>
    </row>
    <row r="107" spans="1:2" ht="14.25">
      <c r="A107" s="23" t="s">
        <v>97</v>
      </c>
      <c r="B107" s="21">
        <f>'Calcoli Foglio1'!B138</f>
        <v>0</v>
      </c>
    </row>
    <row r="109" spans="1:2" ht="29.25" customHeight="1">
      <c r="A109" s="15" t="s">
        <v>98</v>
      </c>
      <c r="B109" s="21" t="e">
        <f>'Calcoli Foglio1'!#REF!</f>
        <v>#REF!</v>
      </c>
    </row>
    <row r="110" ht="14.25">
      <c r="E110" s="14"/>
    </row>
    <row r="111" ht="14.25">
      <c r="E111" s="14"/>
    </row>
    <row r="112" ht="14.25">
      <c r="E112" s="14"/>
    </row>
    <row r="113" ht="15.75" customHeight="1"/>
    <row r="114" ht="15.75" customHeight="1"/>
    <row r="115" ht="15.75" customHeight="1"/>
    <row r="116" ht="15.75" customHeight="1"/>
    <row r="120" ht="15" thickBot="1"/>
    <row r="121" spans="1:5" ht="15" customHeight="1">
      <c r="A121" s="374" t="s">
        <v>162</v>
      </c>
      <c r="B121" s="375"/>
      <c r="C121" s="375"/>
      <c r="D121" s="378" t="e">
        <f>'Calcoli Foglio1'!#REF!</f>
        <v>#REF!</v>
      </c>
      <c r="E121" s="379"/>
    </row>
    <row r="122" spans="1:5" ht="15" customHeight="1" thickBot="1">
      <c r="A122" s="376"/>
      <c r="B122" s="377"/>
      <c r="C122" s="377"/>
      <c r="D122" s="380"/>
      <c r="E122" s="381"/>
    </row>
  </sheetData>
  <sheetProtection selectLockedCells="1"/>
  <mergeCells count="78">
    <mergeCell ref="J20:R23"/>
    <mergeCell ref="F16:G16"/>
    <mergeCell ref="F17:G17"/>
    <mergeCell ref="A5:G5"/>
    <mergeCell ref="C2:I3"/>
    <mergeCell ref="A6:F6"/>
    <mergeCell ref="A7:F7"/>
    <mergeCell ref="A8:G9"/>
    <mergeCell ref="A12:B12"/>
    <mergeCell ref="J14:R17"/>
    <mergeCell ref="J10:R11"/>
    <mergeCell ref="A11:C11"/>
    <mergeCell ref="E13:H13"/>
    <mergeCell ref="E20:H20"/>
    <mergeCell ref="A60:E60"/>
    <mergeCell ref="A28:F28"/>
    <mergeCell ref="A29:F29"/>
    <mergeCell ref="A30:F30"/>
    <mergeCell ref="I28:R30"/>
    <mergeCell ref="A45:C45"/>
    <mergeCell ref="A121:C122"/>
    <mergeCell ref="D121:E122"/>
    <mergeCell ref="I89:R91"/>
    <mergeCell ref="I80:R81"/>
    <mergeCell ref="A81:D81"/>
    <mergeCell ref="A105:C105"/>
    <mergeCell ref="A99:C99"/>
    <mergeCell ref="A90:D90"/>
    <mergeCell ref="A91:D91"/>
    <mergeCell ref="A82:D82"/>
    <mergeCell ref="A73:E73"/>
    <mergeCell ref="A80:E80"/>
    <mergeCell ref="A87:C87"/>
    <mergeCell ref="A63:D63"/>
    <mergeCell ref="E90:E91"/>
    <mergeCell ref="A75:E75"/>
    <mergeCell ref="A78:C78"/>
    <mergeCell ref="A74:E74"/>
    <mergeCell ref="A39:C39"/>
    <mergeCell ref="I37:R39"/>
    <mergeCell ref="A50:C50"/>
    <mergeCell ref="A51:C51"/>
    <mergeCell ref="I61:R63"/>
    <mergeCell ref="A38:C38"/>
    <mergeCell ref="A42:C42"/>
    <mergeCell ref="I50:R52"/>
    <mergeCell ref="I55:R56"/>
    <mergeCell ref="A44:C44"/>
    <mergeCell ref="A58:C58"/>
    <mergeCell ref="A55:C55"/>
    <mergeCell ref="A16:B16"/>
    <mergeCell ref="A17:B17"/>
    <mergeCell ref="A18:B18"/>
    <mergeCell ref="H14:H17"/>
    <mergeCell ref="F15:G15"/>
    <mergeCell ref="G28:G30"/>
    <mergeCell ref="A25:C25"/>
    <mergeCell ref="A27:F27"/>
    <mergeCell ref="C19:C20"/>
    <mergeCell ref="I43:R45"/>
    <mergeCell ref="I71:R73"/>
    <mergeCell ref="F71:F75"/>
    <mergeCell ref="A61:D61"/>
    <mergeCell ref="A62:D62"/>
    <mergeCell ref="A64:D64"/>
    <mergeCell ref="A65:D65"/>
    <mergeCell ref="A70:E70"/>
    <mergeCell ref="A71:E71"/>
    <mergeCell ref="F14:G14"/>
    <mergeCell ref="A48:C48"/>
    <mergeCell ref="A89:E89"/>
    <mergeCell ref="A13:B13"/>
    <mergeCell ref="A15:B15"/>
    <mergeCell ref="A14:B14"/>
    <mergeCell ref="E22:G22"/>
    <mergeCell ref="E21:G21"/>
    <mergeCell ref="A72:E72"/>
    <mergeCell ref="A36:C36"/>
  </mergeCells>
  <conditionalFormatting sqref="C17">
    <cfRule type="notContainsBlanks" priority="30" dxfId="0" stopIfTrue="1">
      <formula>LEN(TRIM(C17))&gt;0</formula>
    </cfRule>
  </conditionalFormatting>
  <conditionalFormatting sqref="H21">
    <cfRule type="notContainsBlanks" priority="29" dxfId="0" stopIfTrue="1">
      <formula>LEN(TRIM(H21))&gt;0</formula>
    </cfRule>
  </conditionalFormatting>
  <conditionalFormatting sqref="H22">
    <cfRule type="notContainsBlanks" priority="28" dxfId="0" stopIfTrue="1">
      <formula>LEN(TRIM(H22))&gt;0</formula>
    </cfRule>
  </conditionalFormatting>
  <conditionalFormatting sqref="D38">
    <cfRule type="cellIs" priority="27" dxfId="0" operator="greaterThan" stopIfTrue="1">
      <formula>0</formula>
    </cfRule>
  </conditionalFormatting>
  <conditionalFormatting sqref="D39">
    <cfRule type="notContainsBlanks" priority="26" dxfId="0" stopIfTrue="1">
      <formula>LEN(TRIM(D39))&gt;0</formula>
    </cfRule>
  </conditionalFormatting>
  <conditionalFormatting sqref="D44">
    <cfRule type="notContainsBlanks" priority="25" dxfId="0" stopIfTrue="1">
      <formula>LEN(TRIM(D44))&gt;0</formula>
    </cfRule>
  </conditionalFormatting>
  <conditionalFormatting sqref="D45">
    <cfRule type="notContainsBlanks" priority="24" dxfId="0" stopIfTrue="1">
      <formula>LEN(TRIM(D45))&gt;0</formula>
    </cfRule>
  </conditionalFormatting>
  <conditionalFormatting sqref="D50">
    <cfRule type="notContainsBlanks" priority="23" dxfId="0" stopIfTrue="1">
      <formula>LEN(TRIM(D50))&gt;0</formula>
    </cfRule>
  </conditionalFormatting>
  <conditionalFormatting sqref="D51">
    <cfRule type="notContainsBlanks" priority="22" dxfId="0" stopIfTrue="1">
      <formula>LEN(TRIM(D51))&gt;0</formula>
    </cfRule>
  </conditionalFormatting>
  <conditionalFormatting sqref="D55">
    <cfRule type="notContainsBlanks" priority="21" dxfId="0" stopIfTrue="1">
      <formula>LEN(TRIM(D55))&gt;0</formula>
    </cfRule>
  </conditionalFormatting>
  <conditionalFormatting sqref="E62">
    <cfRule type="notContainsBlanks" priority="20" dxfId="0" stopIfTrue="1">
      <formula>LEN(TRIM(E62))&gt;0</formula>
    </cfRule>
  </conditionalFormatting>
  <conditionalFormatting sqref="E63">
    <cfRule type="notContainsBlanks" priority="19" dxfId="0" stopIfTrue="1">
      <formula>LEN(TRIM(E63))&gt;0</formula>
    </cfRule>
  </conditionalFormatting>
  <conditionalFormatting sqref="E64">
    <cfRule type="notContainsBlanks" priority="18" dxfId="0" stopIfTrue="1">
      <formula>LEN(TRIM(E64))&gt;0</formula>
    </cfRule>
  </conditionalFormatting>
  <conditionalFormatting sqref="E65">
    <cfRule type="notContainsBlanks" priority="17" dxfId="0" stopIfTrue="1">
      <formula>LEN(TRIM(E65))&gt;0</formula>
    </cfRule>
  </conditionalFormatting>
  <conditionalFormatting sqref="E81">
    <cfRule type="notContainsBlanks" priority="16" dxfId="0" stopIfTrue="1">
      <formula>LEN(TRIM(E81))&gt;0</formula>
    </cfRule>
  </conditionalFormatting>
  <conditionalFormatting sqref="E82">
    <cfRule type="notContainsBlanks" priority="15" dxfId="0" stopIfTrue="1">
      <formula>LEN(TRIM(E82))&gt;0</formula>
    </cfRule>
  </conditionalFormatting>
  <conditionalFormatting sqref="D39">
    <cfRule type="cellIs" priority="14" dxfId="0" operator="greaterThan" stopIfTrue="1">
      <formula>0</formula>
    </cfRule>
  </conditionalFormatting>
  <conditionalFormatting sqref="D44">
    <cfRule type="notContainsBlanks" priority="13" dxfId="0" stopIfTrue="1">
      <formula>LEN(TRIM(D44))&gt;0</formula>
    </cfRule>
  </conditionalFormatting>
  <conditionalFormatting sqref="D44">
    <cfRule type="cellIs" priority="12" dxfId="0" operator="greaterThan" stopIfTrue="1">
      <formula>0</formula>
    </cfRule>
  </conditionalFormatting>
  <conditionalFormatting sqref="D45">
    <cfRule type="notContainsBlanks" priority="11" dxfId="0" stopIfTrue="1">
      <formula>LEN(TRIM(D45))&gt;0</formula>
    </cfRule>
  </conditionalFormatting>
  <conditionalFormatting sqref="D45">
    <cfRule type="cellIs" priority="10" dxfId="0" operator="greaterThan" stopIfTrue="1">
      <formula>0</formula>
    </cfRule>
  </conditionalFormatting>
  <conditionalFormatting sqref="D50">
    <cfRule type="notContainsBlanks" priority="9" dxfId="0" stopIfTrue="1">
      <formula>LEN(TRIM(D50))&gt;0</formula>
    </cfRule>
  </conditionalFormatting>
  <conditionalFormatting sqref="D50">
    <cfRule type="cellIs" priority="8" dxfId="0" operator="greaterThan" stopIfTrue="1">
      <formula>0</formula>
    </cfRule>
  </conditionalFormatting>
  <conditionalFormatting sqref="D51">
    <cfRule type="notContainsBlanks" priority="7" dxfId="0" stopIfTrue="1">
      <formula>LEN(TRIM(D51))&gt;0</formula>
    </cfRule>
  </conditionalFormatting>
  <conditionalFormatting sqref="D51">
    <cfRule type="cellIs" priority="6" dxfId="0" operator="greaterThan" stopIfTrue="1">
      <formula>0</formula>
    </cfRule>
  </conditionalFormatting>
  <conditionalFormatting sqref="H14:H17">
    <cfRule type="notContainsBlanks" priority="5" dxfId="3" stopIfTrue="1">
      <formula>LEN(TRIM(H14))&gt;0</formula>
    </cfRule>
  </conditionalFormatting>
  <conditionalFormatting sqref="G28:G30">
    <cfRule type="notContainsBlanks" priority="4" dxfId="0" stopIfTrue="1">
      <formula>LEN(TRIM(G28))&gt;0</formula>
    </cfRule>
  </conditionalFormatting>
  <conditionalFormatting sqref="F71:F75">
    <cfRule type="notContainsBlanks" priority="3" dxfId="0" stopIfTrue="1">
      <formula>LEN(TRIM(F71))&gt;0</formula>
    </cfRule>
  </conditionalFormatting>
  <conditionalFormatting sqref="E90:E91">
    <cfRule type="notContainsBlanks" priority="2" dxfId="0" stopIfTrue="1">
      <formula>LEN(TRIM(E90))&gt;0</formula>
    </cfRule>
  </conditionalFormatting>
  <dataValidations count="7">
    <dataValidation type="list" allowBlank="1" showInputMessage="1" showErrorMessage="1" sqref="C17">
      <formula1>codIPPC</formula1>
    </dataValidation>
    <dataValidation type="list" allowBlank="1" showInputMessage="1" showErrorMessage="1" sqref="H14:H17">
      <formula1>TipoISTR</formula1>
    </dataValidation>
    <dataValidation type="list" allowBlank="1" showInputMessage="1" showErrorMessage="1" sqref="H21:H22 E62:E65 D55 E81:E82">
      <formula1>SI_NO</formula1>
    </dataValidation>
    <dataValidation type="list" allowBlank="1" showInputMessage="1" showErrorMessage="1" sqref="F71:F75">
      <formula1>RUM</formula1>
    </dataValidation>
    <dataValidation type="list" allowBlank="1" showInputMessage="1" showErrorMessage="1" sqref="G28">
      <formula1>TipoIMP</formula1>
    </dataValidation>
    <dataValidation type="list" allowBlank="1" showInputMessage="1" showErrorMessage="1" sqref="E90:E91">
      <formula1>Domanda</formula1>
    </dataValidation>
    <dataValidation type="list" allowBlank="1" showInputMessage="1" showErrorMessage="1" sqref="F114:F116">
      <formula1>ACCONTO</formula1>
    </dataValidation>
  </dataValidations>
  <printOptions/>
  <pageMargins left="0.7" right="0.7" top="0.75" bottom="0.75" header="0.3" footer="0.3"/>
  <pageSetup horizontalDpi="600" verticalDpi="600" orientation="portrait" paperSize="9" scale="40" r:id="rId1"/>
  <rowBreaks count="2" manualBreakCount="2">
    <brk id="47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263"/>
  <sheetViews>
    <sheetView tabSelected="1" zoomScale="85" zoomScaleNormal="85" zoomScalePageLayoutView="0" workbookViewId="0" topLeftCell="A12">
      <selection activeCell="F66" sqref="F66"/>
    </sheetView>
  </sheetViews>
  <sheetFormatPr defaultColWidth="8.796875" defaultRowHeight="14.25"/>
  <cols>
    <col min="1" max="1" width="20.19921875" style="186" customWidth="1"/>
    <col min="2" max="2" width="14.59765625" style="186" customWidth="1"/>
    <col min="3" max="3" width="43.3984375" style="186" customWidth="1"/>
    <col min="4" max="4" width="12" style="186" customWidth="1"/>
    <col min="5" max="5" width="19.5" style="186" customWidth="1"/>
    <col min="6" max="6" width="13.796875" style="186" customWidth="1"/>
    <col min="7" max="7" width="15.796875" style="186" customWidth="1"/>
    <col min="8" max="8" width="9.69921875" style="186" customWidth="1"/>
    <col min="9" max="9" width="12.3984375" style="186" customWidth="1"/>
    <col min="10" max="16384" width="8.796875" style="186" customWidth="1"/>
  </cols>
  <sheetData>
    <row r="1" ht="15" thickBot="1"/>
    <row r="2" spans="2:8" ht="14.25">
      <c r="B2" s="538" t="s">
        <v>231</v>
      </c>
      <c r="C2" s="539"/>
      <c r="D2" s="539"/>
      <c r="E2" s="539"/>
      <c r="F2" s="539"/>
      <c r="G2" s="539"/>
      <c r="H2" s="540"/>
    </row>
    <row r="3" spans="2:8" ht="39" customHeight="1" thickBot="1">
      <c r="B3" s="541"/>
      <c r="C3" s="542"/>
      <c r="D3" s="542"/>
      <c r="E3" s="542"/>
      <c r="F3" s="542"/>
      <c r="G3" s="542"/>
      <c r="H3" s="543"/>
    </row>
    <row r="4" ht="21" customHeight="1" thickBot="1"/>
    <row r="5" spans="1:3" ht="20.25" thickBot="1">
      <c r="A5" s="544" t="s">
        <v>112</v>
      </c>
      <c r="B5" s="545"/>
      <c r="C5" s="546"/>
    </row>
    <row r="6" spans="1:3" ht="18">
      <c r="A6" s="547" t="s">
        <v>81</v>
      </c>
      <c r="B6" s="548"/>
      <c r="C6" s="183"/>
    </row>
    <row r="7" spans="1:3" ht="18">
      <c r="A7" s="549" t="s">
        <v>99</v>
      </c>
      <c r="B7" s="550"/>
      <c r="C7" s="184"/>
    </row>
    <row r="8" spans="1:3" ht="18">
      <c r="A8" s="549" t="s">
        <v>82</v>
      </c>
      <c r="B8" s="550"/>
      <c r="C8" s="184"/>
    </row>
    <row r="9" spans="1:3" ht="18.75" thickBot="1">
      <c r="A9" s="536" t="s">
        <v>251</v>
      </c>
      <c r="B9" s="537"/>
      <c r="C9" s="185"/>
    </row>
    <row r="10" spans="1:3" ht="18.75" thickBot="1">
      <c r="A10" s="536" t="s">
        <v>250</v>
      </c>
      <c r="B10" s="537"/>
      <c r="C10" s="283"/>
    </row>
    <row r="13" ht="15" thickBot="1"/>
    <row r="14" spans="1:3" ht="20.25" thickBot="1">
      <c r="A14" s="551" t="s">
        <v>96</v>
      </c>
      <c r="B14" s="552"/>
      <c r="C14" s="553"/>
    </row>
    <row r="15" ht="18">
      <c r="A15" s="187"/>
    </row>
    <row r="26" ht="24">
      <c r="A26" s="188" t="s">
        <v>244</v>
      </c>
    </row>
    <row r="27" ht="15" thickBot="1"/>
    <row r="28" spans="1:6" ht="15" thickBot="1">
      <c r="A28" s="554" t="s">
        <v>2</v>
      </c>
      <c r="B28" s="555"/>
      <c r="C28" s="555"/>
      <c r="D28" s="555"/>
      <c r="E28" s="555"/>
      <c r="F28" s="556"/>
    </row>
    <row r="29" spans="1:7" ht="14.25">
      <c r="A29" s="524" t="s">
        <v>185</v>
      </c>
      <c r="B29" s="525"/>
      <c r="C29" s="525"/>
      <c r="D29" s="525"/>
      <c r="E29" s="525"/>
      <c r="F29" s="526"/>
      <c r="G29" s="533"/>
    </row>
    <row r="30" spans="1:7" ht="14.25">
      <c r="A30" s="527" t="s">
        <v>0</v>
      </c>
      <c r="B30" s="528"/>
      <c r="C30" s="528"/>
      <c r="D30" s="528"/>
      <c r="E30" s="528"/>
      <c r="F30" s="529"/>
      <c r="G30" s="534"/>
    </row>
    <row r="31" spans="1:7" ht="15" thickBot="1">
      <c r="A31" s="530" t="s">
        <v>1</v>
      </c>
      <c r="B31" s="531"/>
      <c r="C31" s="531"/>
      <c r="D31" s="531"/>
      <c r="E31" s="531"/>
      <c r="F31" s="532"/>
      <c r="G31" s="535"/>
    </row>
    <row r="32" spans="6:7" ht="21.75" thickBot="1">
      <c r="F32" s="189" t="s">
        <v>212</v>
      </c>
      <c r="G32" s="190">
        <f>SUM(B34:D34)</f>
        <v>0</v>
      </c>
    </row>
    <row r="34" spans="1:4" ht="14.25" hidden="1">
      <c r="A34" s="186" t="s">
        <v>6</v>
      </c>
      <c r="B34" s="191">
        <f>IF(G29=1,2500,)</f>
        <v>0</v>
      </c>
      <c r="C34" s="191">
        <f>IF(G29=2,2000,)</f>
        <v>0</v>
      </c>
      <c r="D34" s="191">
        <f>IF(G29=3,1000,)</f>
        <v>0</v>
      </c>
    </row>
    <row r="37" ht="24">
      <c r="A37" s="188" t="s">
        <v>245</v>
      </c>
    </row>
    <row r="38" spans="4:5" ht="15" thickBot="1">
      <c r="D38" s="192" t="s">
        <v>169</v>
      </c>
      <c r="E38" s="192" t="s">
        <v>165</v>
      </c>
    </row>
    <row r="39" spans="1:5" ht="14.25">
      <c r="A39" s="522" t="s">
        <v>164</v>
      </c>
      <c r="B39" s="523"/>
      <c r="C39" s="523"/>
      <c r="D39" s="284"/>
      <c r="E39" s="193">
        <f>CALCOLI!E7</f>
        <v>0</v>
      </c>
    </row>
    <row r="40" spans="1:5" ht="14.25">
      <c r="A40" s="508" t="s">
        <v>170</v>
      </c>
      <c r="B40" s="509"/>
      <c r="C40" s="509"/>
      <c r="D40" s="285"/>
      <c r="E40" s="194">
        <f>CALCOLI!E8</f>
        <v>0</v>
      </c>
    </row>
    <row r="41" spans="1:5" ht="14.25">
      <c r="A41" s="508" t="s">
        <v>168</v>
      </c>
      <c r="B41" s="509"/>
      <c r="C41" s="509"/>
      <c r="D41" s="285"/>
      <c r="E41" s="194">
        <f>CALCOLI!E9</f>
        <v>0</v>
      </c>
    </row>
    <row r="42" spans="1:5" ht="14.25">
      <c r="A42" s="508" t="s">
        <v>166</v>
      </c>
      <c r="B42" s="509"/>
      <c r="C42" s="509"/>
      <c r="D42" s="285"/>
      <c r="E42" s="194">
        <f>CALCOLI!E10</f>
        <v>0</v>
      </c>
    </row>
    <row r="43" spans="1:5" ht="15" thickBot="1">
      <c r="A43" s="510" t="s">
        <v>167</v>
      </c>
      <c r="B43" s="511"/>
      <c r="C43" s="511"/>
      <c r="D43" s="286"/>
      <c r="E43" s="195">
        <f>CALCOLI!E11</f>
        <v>0</v>
      </c>
    </row>
    <row r="44" spans="1:5" ht="21.75" thickBot="1">
      <c r="A44" s="196"/>
      <c r="B44" s="196"/>
      <c r="C44" s="196"/>
      <c r="D44" s="197" t="s">
        <v>214</v>
      </c>
      <c r="E44" s="198">
        <f>SUM(E39:E43)</f>
        <v>0</v>
      </c>
    </row>
    <row r="45" ht="15" thickBot="1"/>
    <row r="46" spans="1:7" ht="15">
      <c r="A46" s="516" t="s">
        <v>21</v>
      </c>
      <c r="B46" s="518" t="s">
        <v>20</v>
      </c>
      <c r="C46" s="518"/>
      <c r="D46" s="518"/>
      <c r="E46" s="518"/>
      <c r="F46" s="518"/>
      <c r="G46" s="519"/>
    </row>
    <row r="47" spans="1:7" ht="15.75" thickBot="1">
      <c r="A47" s="517"/>
      <c r="B47" s="199">
        <v>1</v>
      </c>
      <c r="C47" s="199" t="s">
        <v>15</v>
      </c>
      <c r="D47" s="199" t="s">
        <v>16</v>
      </c>
      <c r="E47" s="199" t="s">
        <v>17</v>
      </c>
      <c r="F47" s="199" t="s">
        <v>18</v>
      </c>
      <c r="G47" s="200" t="s">
        <v>19</v>
      </c>
    </row>
    <row r="48" spans="1:7" ht="18" customHeight="1">
      <c r="A48" s="201" t="s">
        <v>14</v>
      </c>
      <c r="B48" s="520">
        <v>200</v>
      </c>
      <c r="C48" s="520"/>
      <c r="D48" s="520"/>
      <c r="E48" s="520"/>
      <c r="F48" s="520"/>
      <c r="G48" s="521"/>
    </row>
    <row r="49" spans="1:7" ht="18" customHeight="1">
      <c r="A49" s="202" t="s">
        <v>10</v>
      </c>
      <c r="B49" s="203">
        <v>800</v>
      </c>
      <c r="C49" s="203">
        <v>1250</v>
      </c>
      <c r="D49" s="203">
        <v>2000</v>
      </c>
      <c r="E49" s="203">
        <v>3000</v>
      </c>
      <c r="F49" s="203">
        <v>4500</v>
      </c>
      <c r="G49" s="204">
        <v>12000</v>
      </c>
    </row>
    <row r="50" spans="1:7" ht="18" customHeight="1">
      <c r="A50" s="202" t="s">
        <v>11</v>
      </c>
      <c r="B50" s="203">
        <v>1500</v>
      </c>
      <c r="C50" s="203">
        <v>2500</v>
      </c>
      <c r="D50" s="203">
        <v>4000</v>
      </c>
      <c r="E50" s="203">
        <v>5000</v>
      </c>
      <c r="F50" s="203">
        <v>7000</v>
      </c>
      <c r="G50" s="204">
        <v>20000</v>
      </c>
    </row>
    <row r="51" spans="1:7" ht="18" customHeight="1">
      <c r="A51" s="202" t="s">
        <v>12</v>
      </c>
      <c r="B51" s="203">
        <v>3000</v>
      </c>
      <c r="C51" s="203">
        <v>7500</v>
      </c>
      <c r="D51" s="203">
        <v>12000</v>
      </c>
      <c r="E51" s="203">
        <v>16500</v>
      </c>
      <c r="F51" s="203">
        <v>20000</v>
      </c>
      <c r="G51" s="204">
        <v>33000</v>
      </c>
    </row>
    <row r="52" spans="1:7" ht="18" customHeight="1" thickBot="1">
      <c r="A52" s="205" t="s">
        <v>13</v>
      </c>
      <c r="B52" s="206">
        <v>3500</v>
      </c>
      <c r="C52" s="206">
        <v>8000</v>
      </c>
      <c r="D52" s="206">
        <v>16000</v>
      </c>
      <c r="E52" s="206">
        <v>30000</v>
      </c>
      <c r="F52" s="206">
        <v>34000</v>
      </c>
      <c r="G52" s="207">
        <v>49000</v>
      </c>
    </row>
    <row r="53" ht="14.25">
      <c r="D53" s="208" t="s">
        <v>186</v>
      </c>
    </row>
    <row r="54" ht="14.25">
      <c r="D54" s="208"/>
    </row>
    <row r="56" ht="24">
      <c r="A56" s="188" t="s">
        <v>246</v>
      </c>
    </row>
    <row r="57" spans="1:5" ht="18.75" thickBot="1">
      <c r="A57" s="209"/>
      <c r="D57" s="192" t="s">
        <v>171</v>
      </c>
      <c r="E57" s="192" t="s">
        <v>165</v>
      </c>
    </row>
    <row r="58" spans="1:5" ht="14.25">
      <c r="A58" s="522" t="s">
        <v>239</v>
      </c>
      <c r="B58" s="523"/>
      <c r="C58" s="523"/>
      <c r="D58" s="287"/>
      <c r="E58" s="210">
        <f>CALCOLI!E36</f>
        <v>0</v>
      </c>
    </row>
    <row r="59" spans="1:5" ht="14.25">
      <c r="A59" s="508" t="s">
        <v>240</v>
      </c>
      <c r="B59" s="509"/>
      <c r="C59" s="509"/>
      <c r="D59" s="288"/>
      <c r="E59" s="211">
        <f>CALCOLI!E37</f>
        <v>0</v>
      </c>
    </row>
    <row r="60" spans="1:5" ht="14.25">
      <c r="A60" s="508" t="s">
        <v>241</v>
      </c>
      <c r="B60" s="509"/>
      <c r="C60" s="509"/>
      <c r="D60" s="288"/>
      <c r="E60" s="211">
        <f>CALCOLI!E38</f>
        <v>0</v>
      </c>
    </row>
    <row r="61" spans="1:5" ht="14.25">
      <c r="A61" s="508" t="s">
        <v>242</v>
      </c>
      <c r="B61" s="509"/>
      <c r="C61" s="509"/>
      <c r="D61" s="288"/>
      <c r="E61" s="211">
        <f>CALCOLI!E39</f>
        <v>0</v>
      </c>
    </row>
    <row r="62" spans="1:5" ht="14.25">
      <c r="A62" s="508" t="s">
        <v>243</v>
      </c>
      <c r="B62" s="509"/>
      <c r="C62" s="509"/>
      <c r="D62" s="288"/>
      <c r="E62" s="211">
        <f>CALCOLI!E40</f>
        <v>0</v>
      </c>
    </row>
    <row r="63" spans="1:5" ht="15" thickBot="1">
      <c r="A63" s="510" t="s">
        <v>237</v>
      </c>
      <c r="B63" s="511"/>
      <c r="C63" s="511"/>
      <c r="D63" s="289"/>
      <c r="E63" s="212">
        <f>CALCOLI!E41</f>
        <v>0</v>
      </c>
    </row>
    <row r="64" spans="1:5" ht="21.75" thickBot="1">
      <c r="A64" s="196"/>
      <c r="B64" s="196"/>
      <c r="C64" s="196"/>
      <c r="D64" s="197" t="s">
        <v>216</v>
      </c>
      <c r="E64" s="198">
        <f>SUM(E58:E63)</f>
        <v>0</v>
      </c>
    </row>
    <row r="65" spans="1:3" ht="24" customHeight="1" thickBot="1">
      <c r="A65" s="196"/>
      <c r="B65" s="196"/>
      <c r="C65" s="196"/>
    </row>
    <row r="66" spans="1:5" ht="22.5" customHeight="1">
      <c r="A66" s="512" t="s">
        <v>21</v>
      </c>
      <c r="B66" s="514" t="s">
        <v>238</v>
      </c>
      <c r="C66" s="514"/>
      <c r="D66" s="514"/>
      <c r="E66" s="515"/>
    </row>
    <row r="67" spans="1:5" ht="14.25">
      <c r="A67" s="513"/>
      <c r="B67" s="213">
        <v>1</v>
      </c>
      <c r="C67" s="213" t="s">
        <v>15</v>
      </c>
      <c r="D67" s="213" t="s">
        <v>16</v>
      </c>
      <c r="E67" s="214" t="s">
        <v>27</v>
      </c>
    </row>
    <row r="68" spans="1:5" ht="15">
      <c r="A68" s="215" t="s">
        <v>28</v>
      </c>
      <c r="B68" s="203">
        <v>50</v>
      </c>
      <c r="C68" s="203">
        <v>100</v>
      </c>
      <c r="D68" s="203">
        <v>100</v>
      </c>
      <c r="E68" s="204">
        <v>400</v>
      </c>
    </row>
    <row r="69" spans="1:5" ht="15">
      <c r="A69" s="215" t="s">
        <v>10</v>
      </c>
      <c r="B69" s="203">
        <v>950</v>
      </c>
      <c r="C69" s="203">
        <v>1500</v>
      </c>
      <c r="D69" s="203">
        <v>2000</v>
      </c>
      <c r="E69" s="204">
        <v>5000</v>
      </c>
    </row>
    <row r="70" spans="1:5" ht="15">
      <c r="A70" s="215" t="s">
        <v>29</v>
      </c>
      <c r="B70" s="203">
        <v>1750</v>
      </c>
      <c r="C70" s="203">
        <v>2800</v>
      </c>
      <c r="D70" s="203">
        <v>4200</v>
      </c>
      <c r="E70" s="204">
        <v>8000</v>
      </c>
    </row>
    <row r="71" spans="1:5" ht="15">
      <c r="A71" s="215" t="s">
        <v>30</v>
      </c>
      <c r="B71" s="203">
        <v>2300</v>
      </c>
      <c r="C71" s="203">
        <v>3800</v>
      </c>
      <c r="D71" s="203">
        <v>5800</v>
      </c>
      <c r="E71" s="204">
        <v>10000</v>
      </c>
    </row>
    <row r="72" spans="1:5" ht="15">
      <c r="A72" s="215" t="s">
        <v>31</v>
      </c>
      <c r="B72" s="203">
        <v>3500</v>
      </c>
      <c r="C72" s="203">
        <v>7500</v>
      </c>
      <c r="D72" s="203">
        <v>15000</v>
      </c>
      <c r="E72" s="204">
        <v>29000</v>
      </c>
    </row>
    <row r="73" spans="1:5" ht="15.75" thickBot="1">
      <c r="A73" s="216" t="s">
        <v>32</v>
      </c>
      <c r="B73" s="206">
        <v>4500</v>
      </c>
      <c r="C73" s="206">
        <v>10000</v>
      </c>
      <c r="D73" s="206">
        <v>20000</v>
      </c>
      <c r="E73" s="207">
        <v>30000</v>
      </c>
    </row>
    <row r="74" ht="14.25">
      <c r="C74" s="208" t="s">
        <v>187</v>
      </c>
    </row>
    <row r="75" ht="15" thickBot="1"/>
    <row r="76" spans="1:5" ht="24.75" thickBot="1">
      <c r="A76" s="188" t="s">
        <v>247</v>
      </c>
      <c r="B76" s="217"/>
      <c r="E76" s="218" t="s">
        <v>210</v>
      </c>
    </row>
    <row r="77" spans="4:5" ht="15" thickBot="1">
      <c r="D77" s="219" t="s">
        <v>179</v>
      </c>
      <c r="E77" s="220" t="s">
        <v>180</v>
      </c>
    </row>
    <row r="78" spans="1:5" ht="14.25">
      <c r="A78" s="502" t="s">
        <v>34</v>
      </c>
      <c r="B78" s="503"/>
      <c r="C78" s="504"/>
      <c r="D78" s="290"/>
      <c r="E78" s="291"/>
    </row>
    <row r="79" spans="1:5" ht="15" thickBot="1">
      <c r="A79" s="500" t="s">
        <v>35</v>
      </c>
      <c r="B79" s="501"/>
      <c r="C79" s="505"/>
      <c r="D79" s="292"/>
      <c r="E79" s="293"/>
    </row>
    <row r="80" spans="1:5" ht="15" thickBot="1">
      <c r="A80" s="196"/>
      <c r="B80" s="196"/>
      <c r="C80" s="196"/>
      <c r="D80" s="221"/>
      <c r="E80" s="222"/>
    </row>
    <row r="81" spans="1:7" ht="15" thickBot="1">
      <c r="A81" s="444" t="s">
        <v>248</v>
      </c>
      <c r="B81" s="445"/>
      <c r="C81" s="445"/>
      <c r="D81" s="445"/>
      <c r="E81" s="445"/>
      <c r="F81" s="445"/>
      <c r="G81" s="446"/>
    </row>
    <row r="82" ht="15" thickBot="1"/>
    <row r="83" spans="1:7" ht="46.5" customHeight="1">
      <c r="A83" s="506" t="s">
        <v>37</v>
      </c>
      <c r="B83" s="506">
        <v>0</v>
      </c>
      <c r="C83" s="223" t="s">
        <v>38</v>
      </c>
      <c r="D83" s="223" t="s">
        <v>40</v>
      </c>
      <c r="E83" s="223" t="s">
        <v>42</v>
      </c>
      <c r="F83" s="506" t="s">
        <v>44</v>
      </c>
      <c r="G83" s="506" t="s">
        <v>45</v>
      </c>
    </row>
    <row r="84" spans="1:7" ht="15" thickBot="1">
      <c r="A84" s="507"/>
      <c r="B84" s="507"/>
      <c r="C84" s="224" t="s">
        <v>39</v>
      </c>
      <c r="D84" s="224" t="s">
        <v>41</v>
      </c>
      <c r="E84" s="224" t="s">
        <v>43</v>
      </c>
      <c r="F84" s="507"/>
      <c r="G84" s="507"/>
    </row>
    <row r="85" spans="1:8" ht="24" customHeight="1" thickBot="1">
      <c r="A85" s="225" t="s">
        <v>46</v>
      </c>
      <c r="B85" s="226">
        <v>0</v>
      </c>
      <c r="C85" s="226">
        <v>500</v>
      </c>
      <c r="D85" s="226">
        <v>1000</v>
      </c>
      <c r="E85" s="226">
        <v>2200</v>
      </c>
      <c r="F85" s="226">
        <v>3200</v>
      </c>
      <c r="G85" s="226" t="s">
        <v>218</v>
      </c>
      <c r="H85" s="193">
        <f>'Calcoli Foglio1'!H80</f>
        <v>0</v>
      </c>
    </row>
    <row r="86" spans="1:8" ht="29.25" thickBot="1">
      <c r="A86" s="225" t="s">
        <v>47</v>
      </c>
      <c r="B86" s="226">
        <v>0</v>
      </c>
      <c r="C86" s="226">
        <v>0</v>
      </c>
      <c r="D86" s="226">
        <v>500</v>
      </c>
      <c r="E86" s="226">
        <v>1200</v>
      </c>
      <c r="F86" s="226">
        <v>1800</v>
      </c>
      <c r="G86" s="226" t="s">
        <v>219</v>
      </c>
      <c r="H86" s="227">
        <f>'Calcoli Foglio1'!H81</f>
        <v>0</v>
      </c>
    </row>
    <row r="88" spans="1:7" ht="14.25" hidden="1">
      <c r="A88" s="228" t="s">
        <v>48</v>
      </c>
      <c r="B88" s="228">
        <f>IF($D$78=0,0,0)</f>
        <v>0</v>
      </c>
      <c r="C88" s="228">
        <f>IF(AND($D$78&gt;0,$D$78&lt;=1),500,0)</f>
        <v>0</v>
      </c>
      <c r="D88" s="228">
        <f>IF(AND($D$78&gt;1,$D$78&lt;=10),1000,0)</f>
        <v>0</v>
      </c>
      <c r="E88" s="228">
        <f>IF(AND($D$78&gt;10,$D$78&lt;=50),2200,0)</f>
        <v>0</v>
      </c>
      <c r="F88" s="228">
        <f>IF($D$78&gt;50,3200,0)</f>
        <v>0</v>
      </c>
      <c r="G88" s="229">
        <f>SUM(B88:F88)</f>
        <v>0</v>
      </c>
    </row>
    <row r="89" spans="1:7" ht="14.25" hidden="1">
      <c r="A89" s="228" t="s">
        <v>49</v>
      </c>
      <c r="B89" s="228">
        <f>IF($D$79=0,0,0)</f>
        <v>0</v>
      </c>
      <c r="C89" s="228">
        <f>IF(AND($D$79&gt;0,$D$79&lt;=1),0,0)</f>
        <v>0</v>
      </c>
      <c r="D89" s="228">
        <f>IF(AND($D$79&gt;1,$D$79&lt;=10),500,0)</f>
        <v>0</v>
      </c>
      <c r="E89" s="228">
        <f>IF(AND($D$79&gt;10,$D$79&lt;=50),1200,0)</f>
        <v>0</v>
      </c>
      <c r="F89" s="228">
        <f>IF($D$79&gt;50,1800,0)</f>
        <v>0</v>
      </c>
      <c r="G89" s="229">
        <f>SUM(B89:F89)</f>
        <v>0</v>
      </c>
    </row>
    <row r="91" ht="15" thickBot="1"/>
    <row r="92" spans="1:7" ht="15" thickBot="1">
      <c r="A92" s="444" t="s">
        <v>181</v>
      </c>
      <c r="B92" s="445"/>
      <c r="C92" s="445"/>
      <c r="D92" s="445"/>
      <c r="E92" s="445"/>
      <c r="F92" s="445"/>
      <c r="G92" s="446"/>
    </row>
    <row r="93" ht="15" thickBot="1"/>
    <row r="94" spans="1:7" ht="30.75" customHeight="1">
      <c r="A94" s="498" t="s">
        <v>172</v>
      </c>
      <c r="B94" s="498">
        <v>0</v>
      </c>
      <c r="C94" s="230" t="s">
        <v>38</v>
      </c>
      <c r="D94" s="230" t="s">
        <v>174</v>
      </c>
      <c r="E94" s="230" t="s">
        <v>176</v>
      </c>
      <c r="F94" s="498" t="s">
        <v>178</v>
      </c>
      <c r="G94" s="498" t="s">
        <v>45</v>
      </c>
    </row>
    <row r="95" spans="1:10" ht="15" thickBot="1">
      <c r="A95" s="499"/>
      <c r="B95" s="499"/>
      <c r="C95" s="231" t="s">
        <v>173</v>
      </c>
      <c r="D95" s="231" t="s">
        <v>175</v>
      </c>
      <c r="E95" s="231" t="s">
        <v>177</v>
      </c>
      <c r="F95" s="499"/>
      <c r="G95" s="499"/>
      <c r="J95" s="192"/>
    </row>
    <row r="96" spans="1:8" ht="28.5" customHeight="1" thickBot="1">
      <c r="A96" s="232" t="s">
        <v>46</v>
      </c>
      <c r="B96" s="233">
        <v>0</v>
      </c>
      <c r="C96" s="233">
        <v>1200</v>
      </c>
      <c r="D96" s="233">
        <v>2400</v>
      </c>
      <c r="E96" s="233">
        <v>3600</v>
      </c>
      <c r="F96" s="233">
        <v>4800</v>
      </c>
      <c r="G96" s="234" t="s">
        <v>218</v>
      </c>
      <c r="H96" s="193">
        <f>'Calcoli Foglio1'!H91</f>
        <v>0</v>
      </c>
    </row>
    <row r="97" spans="1:8" ht="29.25" thickBot="1">
      <c r="A97" s="232" t="s">
        <v>47</v>
      </c>
      <c r="B97" s="233">
        <v>0</v>
      </c>
      <c r="C97" s="233">
        <v>1000</v>
      </c>
      <c r="D97" s="233">
        <v>2000</v>
      </c>
      <c r="E97" s="233">
        <v>3000</v>
      </c>
      <c r="F97" s="233">
        <v>4000</v>
      </c>
      <c r="G97" s="233" t="s">
        <v>219</v>
      </c>
      <c r="H97" s="227">
        <f>'Calcoli Foglio1'!H92</f>
        <v>0</v>
      </c>
    </row>
    <row r="99" spans="1:7" ht="14.25" hidden="1">
      <c r="A99" s="228" t="s">
        <v>48</v>
      </c>
      <c r="B99" s="228">
        <f>IF($E$78=0,0,0)</f>
        <v>0</v>
      </c>
      <c r="C99" s="228">
        <f>IF(AND($E$78&gt;0,$E$78&lt;=400000),1200,0)</f>
        <v>0</v>
      </c>
      <c r="D99" s="228">
        <f>IF(AND($E$78&gt;400000,$E$78&lt;=800000),2400,0)</f>
        <v>0</v>
      </c>
      <c r="E99" s="228">
        <f>IF(AND($E$78&gt;800000,$E$78&lt;=1600000),3600,0)</f>
        <v>0</v>
      </c>
      <c r="F99" s="228">
        <f>IF($E$78&gt;1600000,4800,0)</f>
        <v>0</v>
      </c>
      <c r="G99" s="229">
        <f>SUM(B99:F99)</f>
        <v>0</v>
      </c>
    </row>
    <row r="100" spans="1:7" ht="14.25" hidden="1">
      <c r="A100" s="228" t="s">
        <v>49</v>
      </c>
      <c r="B100" s="228">
        <f>IF($E$79=0,0,0)</f>
        <v>0</v>
      </c>
      <c r="C100" s="228">
        <f>IF(AND($E$79&gt;0,$E$79&lt;=400000),1200,0)</f>
        <v>0</v>
      </c>
      <c r="D100" s="228">
        <f>IF(AND($E$79&gt;400000,$E$79&lt;=800000),2400,0)</f>
        <v>0</v>
      </c>
      <c r="E100" s="228">
        <f>IF(AND($E$79&gt;800000,$E$79&lt;=1600000),3600,0)</f>
        <v>0</v>
      </c>
      <c r="F100" s="228">
        <f>IF($E$79&gt;1600000,4800,0)</f>
        <v>0</v>
      </c>
      <c r="G100" s="229">
        <f>SUM(B100:F100)</f>
        <v>0</v>
      </c>
    </row>
    <row r="102" ht="15" thickBot="1"/>
    <row r="103" spans="1:5" ht="23.25" customHeight="1" thickBot="1">
      <c r="A103" s="488" t="s">
        <v>36</v>
      </c>
      <c r="B103" s="489"/>
      <c r="C103" s="490"/>
      <c r="D103" s="294"/>
      <c r="E103" s="227">
        <f>'Calcoli Foglio1'!F98</f>
        <v>0</v>
      </c>
    </row>
    <row r="104" ht="15" thickBot="1"/>
    <row r="105" spans="4:5" ht="21.75" thickBot="1">
      <c r="D105" s="235" t="s">
        <v>220</v>
      </c>
      <c r="E105" s="236">
        <f>SUM(H85,H86,H96,H97,E103)</f>
        <v>0</v>
      </c>
    </row>
    <row r="107" spans="1:3" ht="19.5">
      <c r="A107" s="237" t="s">
        <v>182</v>
      </c>
      <c r="B107" s="217"/>
      <c r="C107" s="217"/>
    </row>
    <row r="108" ht="15" thickBot="1"/>
    <row r="109" spans="1:6" ht="15" thickBot="1">
      <c r="A109" s="491" t="s">
        <v>54</v>
      </c>
      <c r="B109" s="492"/>
      <c r="C109" s="492"/>
      <c r="D109" s="238" t="s">
        <v>45</v>
      </c>
      <c r="F109" s="186" t="s">
        <v>51</v>
      </c>
    </row>
    <row r="110" spans="1:7" ht="18">
      <c r="A110" s="493" t="s">
        <v>55</v>
      </c>
      <c r="B110" s="494"/>
      <c r="C110" s="494"/>
      <c r="D110" s="239" t="s">
        <v>221</v>
      </c>
      <c r="E110" s="240" t="s">
        <v>60</v>
      </c>
      <c r="F110" s="241">
        <f>'Calcoli Foglio1'!F116</f>
        <v>0</v>
      </c>
      <c r="G110" s="191"/>
    </row>
    <row r="111" spans="1:6" ht="18">
      <c r="A111" s="493" t="s">
        <v>56</v>
      </c>
      <c r="B111" s="494"/>
      <c r="C111" s="494"/>
      <c r="D111" s="239" t="s">
        <v>222</v>
      </c>
      <c r="E111" s="295" t="s">
        <v>123</v>
      </c>
      <c r="F111" s="194">
        <f>'Calcoli Foglio1'!G106</f>
        <v>0</v>
      </c>
    </row>
    <row r="112" spans="1:6" ht="18">
      <c r="A112" s="493" t="s">
        <v>57</v>
      </c>
      <c r="B112" s="494"/>
      <c r="C112" s="494"/>
      <c r="D112" s="239" t="s">
        <v>223</v>
      </c>
      <c r="E112" s="295" t="s">
        <v>123</v>
      </c>
      <c r="F112" s="194">
        <f>'Calcoli Foglio1'!G107</f>
        <v>0</v>
      </c>
    </row>
    <row r="113" spans="1:6" ht="18">
      <c r="A113" s="493" t="s">
        <v>58</v>
      </c>
      <c r="B113" s="494"/>
      <c r="C113" s="494"/>
      <c r="D113" s="239" t="s">
        <v>224</v>
      </c>
      <c r="E113" s="295" t="s">
        <v>123</v>
      </c>
      <c r="F113" s="194">
        <f>'Calcoli Foglio1'!G108</f>
        <v>0</v>
      </c>
    </row>
    <row r="114" spans="1:6" ht="18.75" thickBot="1">
      <c r="A114" s="500" t="s">
        <v>59</v>
      </c>
      <c r="B114" s="501"/>
      <c r="C114" s="501"/>
      <c r="D114" s="242" t="s">
        <v>225</v>
      </c>
      <c r="E114" s="295" t="s">
        <v>123</v>
      </c>
      <c r="F114" s="195">
        <f>'Calcoli Foglio1'!G109</f>
        <v>0</v>
      </c>
    </row>
    <row r="115" ht="18.75" thickBot="1">
      <c r="F115" s="243">
        <f>SUM(F110+F111+F112+F113+F114)</f>
        <v>0</v>
      </c>
    </row>
    <row r="116" ht="15" thickBot="1"/>
    <row r="117" spans="1:7" ht="19.5" customHeight="1" thickBot="1">
      <c r="A117" s="495" t="s">
        <v>55</v>
      </c>
      <c r="B117" s="496"/>
      <c r="C117" s="496"/>
      <c r="D117" s="496"/>
      <c r="E117" s="496"/>
      <c r="F117" s="496"/>
      <c r="G117" s="497"/>
    </row>
    <row r="118" spans="1:7" ht="30" customHeight="1">
      <c r="A118" s="447" t="s">
        <v>249</v>
      </c>
      <c r="B118" s="448"/>
      <c r="C118" s="448"/>
      <c r="D118" s="448"/>
      <c r="E118" s="448"/>
      <c r="F118" s="449"/>
      <c r="G118" s="456"/>
    </row>
    <row r="119" spans="1:7" ht="30" customHeight="1">
      <c r="A119" s="450" t="s">
        <v>183</v>
      </c>
      <c r="B119" s="451"/>
      <c r="C119" s="451"/>
      <c r="D119" s="451"/>
      <c r="E119" s="451"/>
      <c r="F119" s="452"/>
      <c r="G119" s="457"/>
    </row>
    <row r="120" spans="1:7" ht="30" customHeight="1" thickBot="1">
      <c r="A120" s="453" t="s">
        <v>184</v>
      </c>
      <c r="B120" s="454"/>
      <c r="C120" s="454"/>
      <c r="D120" s="454"/>
      <c r="E120" s="454"/>
      <c r="F120" s="455"/>
      <c r="G120" s="458"/>
    </row>
    <row r="122" ht="14.25">
      <c r="F122" s="191"/>
    </row>
    <row r="125" spans="1:3" ht="19.5">
      <c r="A125" s="471" t="s">
        <v>73</v>
      </c>
      <c r="B125" s="471"/>
      <c r="C125" s="471"/>
    </row>
    <row r="126" ht="15" thickBot="1"/>
    <row r="127" spans="1:7" ht="15" thickBot="1">
      <c r="A127" s="485" t="s">
        <v>191</v>
      </c>
      <c r="B127" s="486"/>
      <c r="C127" s="486"/>
      <c r="D127" s="486"/>
      <c r="E127" s="486"/>
      <c r="F127" s="487"/>
      <c r="G127" s="244"/>
    </row>
    <row r="128" spans="1:7" ht="14.25">
      <c r="A128" s="461" t="s">
        <v>75</v>
      </c>
      <c r="B128" s="462"/>
      <c r="C128" s="462"/>
      <c r="D128" s="462"/>
      <c r="E128" s="463"/>
      <c r="F128" s="459"/>
      <c r="G128" s="245"/>
    </row>
    <row r="129" spans="1:7" ht="15" thickBot="1">
      <c r="A129" s="482" t="s">
        <v>268</v>
      </c>
      <c r="B129" s="483"/>
      <c r="C129" s="483"/>
      <c r="D129" s="483"/>
      <c r="E129" s="484"/>
      <c r="F129" s="460"/>
      <c r="G129" s="245"/>
    </row>
    <row r="130" ht="15" thickBot="1"/>
    <row r="131" spans="5:6" ht="21.75" thickBot="1">
      <c r="E131" s="235" t="s">
        <v>226</v>
      </c>
      <c r="F131" s="236">
        <f>CALCOLI!F105</f>
        <v>0</v>
      </c>
    </row>
    <row r="134" ht="15" thickBot="1"/>
    <row r="135" spans="7:8" ht="15" thickBot="1">
      <c r="G135" s="246" t="s">
        <v>91</v>
      </c>
      <c r="H135" s="283"/>
    </row>
    <row r="136" ht="15" thickBot="1"/>
    <row r="137" spans="7:8" ht="15" thickBot="1">
      <c r="G137" s="247" t="s">
        <v>88</v>
      </c>
      <c r="H137" s="227">
        <f>E138</f>
        <v>0.7</v>
      </c>
    </row>
    <row r="138" spans="1:5" ht="14.25" hidden="1">
      <c r="A138" s="186" t="s">
        <v>88</v>
      </c>
      <c r="B138" s="186">
        <f>IF(NOT(OR($H$135=1.1,$H$135=2.2,$H$135=5.2,$H$135=5.4)),0.7,0)</f>
        <v>0.7</v>
      </c>
      <c r="C138" s="186">
        <f>IF(OR($H$135=1.1,$H$135=2.2,$H$135=5.4),1,0)</f>
        <v>0</v>
      </c>
      <c r="D138" s="186">
        <f>IF(OR($H$135=5.2),1.4,0)</f>
        <v>0</v>
      </c>
      <c r="E138" s="229">
        <f>SUM(B138:D138)</f>
        <v>0.7</v>
      </c>
    </row>
    <row r="140" spans="1:3" ht="20.25" thickBot="1">
      <c r="A140" s="471" t="s">
        <v>96</v>
      </c>
      <c r="B140" s="471"/>
      <c r="C140" s="471"/>
    </row>
    <row r="141" spans="1:10" ht="21.75" thickBot="1">
      <c r="A141" s="248" t="s">
        <v>200</v>
      </c>
      <c r="B141" s="249">
        <f>SUM(G32,E44,E64,E105,F115)-F131</f>
        <v>0</v>
      </c>
      <c r="C141" s="250"/>
      <c r="F141" s="251">
        <v>1</v>
      </c>
      <c r="G141" s="252">
        <v>2</v>
      </c>
      <c r="H141" s="252">
        <v>3</v>
      </c>
      <c r="I141" s="252">
        <v>4</v>
      </c>
      <c r="J141" s="253">
        <v>5</v>
      </c>
    </row>
    <row r="142" spans="5:10" ht="18" thickBot="1">
      <c r="E142" s="254" t="s">
        <v>227</v>
      </c>
      <c r="F142" s="255">
        <f>IF(AND($B$143&gt;=5000,$B$146=1),0.2*$B$143,0)</f>
        <v>0</v>
      </c>
      <c r="G142" s="256">
        <f>IF(AND($B$143&gt;=5000,$B$146=2),0.3*$B$143,0)</f>
        <v>0</v>
      </c>
      <c r="H142" s="256">
        <f>IF(AND($B$143&gt;=5000,$B$146=3),0.05*$B$143,0)</f>
        <v>0</v>
      </c>
      <c r="I142" s="256">
        <f>IF(AND($B$143&gt;=5000,$B$146=4),0.25*$B$143,0)</f>
        <v>0</v>
      </c>
      <c r="J142" s="257">
        <f>IF(AND($B$143&gt;=5000,$B$146=5),0.35*$B$143,0)</f>
        <v>0</v>
      </c>
    </row>
    <row r="143" spans="1:10" ht="21.75" thickBot="1">
      <c r="A143" s="248" t="s">
        <v>199</v>
      </c>
      <c r="B143" s="258">
        <f>B141*H137</f>
        <v>0</v>
      </c>
      <c r="E143" s="254" t="s">
        <v>228</v>
      </c>
      <c r="F143" s="259">
        <f>IF(AND($B$143&lt;5000,$B$146=1),1000,0)</f>
        <v>0</v>
      </c>
      <c r="G143" s="260">
        <f>IF(AND($B$143&lt;5000,$B$146=2),2000,0)</f>
        <v>0</v>
      </c>
      <c r="H143" s="260">
        <f>IF(AND($B$143&lt;5000,$B$146=3),200,0)</f>
        <v>0</v>
      </c>
      <c r="I143" s="260">
        <f>IF(AND($B$143&lt;5000,$B$146=4),1000,0)</f>
        <v>0</v>
      </c>
      <c r="J143" s="261">
        <f>IF(AND($B$143&lt;5000,$B$146=5),2000,0)</f>
        <v>0</v>
      </c>
    </row>
    <row r="145" spans="1:3" ht="18" thickBot="1">
      <c r="A145" s="472" t="s">
        <v>201</v>
      </c>
      <c r="B145" s="472"/>
      <c r="C145" s="186" t="s">
        <v>203</v>
      </c>
    </row>
    <row r="146" spans="1:8" ht="27.75" customHeight="1" thickBot="1">
      <c r="A146" s="262" t="s">
        <v>202</v>
      </c>
      <c r="B146" s="296"/>
      <c r="C146" s="263">
        <f>SUM(F142:J143)</f>
        <v>0</v>
      </c>
      <c r="E146" s="264" t="s">
        <v>198</v>
      </c>
      <c r="F146" s="265" t="s">
        <v>192</v>
      </c>
      <c r="G146" s="266" t="s">
        <v>229</v>
      </c>
      <c r="H146" s="266" t="s">
        <v>230</v>
      </c>
    </row>
    <row r="147" spans="5:8" ht="15" thickBot="1">
      <c r="E147" s="192">
        <v>1</v>
      </c>
      <c r="F147" s="267" t="s">
        <v>193</v>
      </c>
      <c r="G147" s="268">
        <v>0.2</v>
      </c>
      <c r="H147" s="269">
        <v>1000</v>
      </c>
    </row>
    <row r="148" spans="1:8" ht="36.75" customHeight="1" thickBot="1">
      <c r="A148" s="469" t="s">
        <v>204</v>
      </c>
      <c r="B148" s="470"/>
      <c r="C148" s="270">
        <f>B143-C146</f>
        <v>0</v>
      </c>
      <c r="E148" s="192">
        <v>2</v>
      </c>
      <c r="F148" s="267" t="s">
        <v>194</v>
      </c>
      <c r="G148" s="268">
        <v>0.3</v>
      </c>
      <c r="H148" s="269">
        <v>2000</v>
      </c>
    </row>
    <row r="149" spans="5:8" ht="15" thickBot="1">
      <c r="E149" s="192">
        <v>3</v>
      </c>
      <c r="F149" s="267" t="s">
        <v>195</v>
      </c>
      <c r="G149" s="268">
        <v>0.05</v>
      </c>
      <c r="H149" s="269">
        <v>200</v>
      </c>
    </row>
    <row r="150" spans="5:8" ht="29.25" thickBot="1">
      <c r="E150" s="192">
        <v>4</v>
      </c>
      <c r="F150" s="267" t="s">
        <v>196</v>
      </c>
      <c r="G150" s="268">
        <v>0.25</v>
      </c>
      <c r="H150" s="269">
        <v>1000</v>
      </c>
    </row>
    <row r="151" spans="5:8" ht="29.25" thickBot="1">
      <c r="E151" s="192">
        <v>5</v>
      </c>
      <c r="F151" s="267" t="s">
        <v>197</v>
      </c>
      <c r="G151" s="268">
        <v>0.35</v>
      </c>
      <c r="H151" s="269">
        <v>2000</v>
      </c>
    </row>
    <row r="152" spans="5:8" ht="14.25">
      <c r="E152" s="192"/>
      <c r="F152" s="271"/>
      <c r="G152" s="272"/>
      <c r="H152" s="273"/>
    </row>
    <row r="153" spans="5:8" ht="14.25">
      <c r="E153" s="192"/>
      <c r="F153" s="271"/>
      <c r="G153" s="272"/>
      <c r="H153" s="273"/>
    </row>
    <row r="154" spans="5:8" ht="15" thickBot="1">
      <c r="E154" s="192"/>
      <c r="F154" s="271"/>
      <c r="G154" s="272"/>
      <c r="H154" s="273"/>
    </row>
    <row r="155" spans="1:4" ht="18.75" thickBot="1">
      <c r="A155" s="466" t="s">
        <v>85</v>
      </c>
      <c r="B155" s="467"/>
      <c r="C155" s="468"/>
      <c r="D155" s="274"/>
    </row>
    <row r="156" spans="1:4" ht="18" customHeight="1">
      <c r="A156" s="275"/>
      <c r="B156" s="473" t="s">
        <v>207</v>
      </c>
      <c r="C156" s="474"/>
      <c r="D156" s="475"/>
    </row>
    <row r="157" spans="1:4" ht="18" customHeight="1">
      <c r="A157" s="276"/>
      <c r="B157" s="478" t="s">
        <v>208</v>
      </c>
      <c r="C157" s="479"/>
      <c r="D157" s="476"/>
    </row>
    <row r="158" spans="1:4" ht="18" customHeight="1" thickBot="1">
      <c r="A158" s="277"/>
      <c r="B158" s="480" t="s">
        <v>205</v>
      </c>
      <c r="C158" s="481"/>
      <c r="D158" s="477"/>
    </row>
    <row r="160" ht="15" thickBot="1"/>
    <row r="161" spans="1:3" ht="23.25" thickBot="1">
      <c r="A161" s="469" t="s">
        <v>206</v>
      </c>
      <c r="B161" s="470"/>
      <c r="C161" s="270">
        <f>IF(D156=4,C148*0.5,)</f>
        <v>0</v>
      </c>
    </row>
    <row r="164" ht="15" thickBot="1"/>
    <row r="165" spans="1:3" ht="15.75" thickBot="1">
      <c r="A165" s="464" t="s">
        <v>263</v>
      </c>
      <c r="B165" s="465"/>
      <c r="C165" s="297"/>
    </row>
    <row r="166" ht="15" thickBot="1"/>
    <row r="167" spans="1:3" ht="27.75" thickBot="1">
      <c r="A167" s="464" t="s">
        <v>264</v>
      </c>
      <c r="B167" s="465"/>
      <c r="C167" s="278">
        <f>C161-C165</f>
        <v>0</v>
      </c>
    </row>
    <row r="169" spans="1:7" ht="14.25" hidden="1">
      <c r="A169" s="443" t="s">
        <v>117</v>
      </c>
      <c r="B169" s="443"/>
      <c r="C169" s="443"/>
      <c r="D169" s="443"/>
      <c r="E169" s="443"/>
      <c r="F169" s="443"/>
      <c r="G169" s="279"/>
    </row>
    <row r="170" spans="1:10" ht="14.25" hidden="1">
      <c r="A170" s="279" t="s">
        <v>116</v>
      </c>
      <c r="B170" s="279" t="s">
        <v>118</v>
      </c>
      <c r="C170" s="279" t="s">
        <v>119</v>
      </c>
      <c r="D170" s="279" t="s">
        <v>120</v>
      </c>
      <c r="E170" s="279" t="s">
        <v>121</v>
      </c>
      <c r="F170" s="279" t="s">
        <v>109</v>
      </c>
      <c r="G170" s="279" t="s">
        <v>124</v>
      </c>
      <c r="J170" s="186" t="s">
        <v>209</v>
      </c>
    </row>
    <row r="171" spans="1:10" ht="14.25" hidden="1">
      <c r="A171" s="280">
        <v>1.1</v>
      </c>
      <c r="B171" s="281">
        <v>2</v>
      </c>
      <c r="C171" s="279">
        <v>1</v>
      </c>
      <c r="D171" s="279" t="s">
        <v>122</v>
      </c>
      <c r="E171" s="279">
        <v>1</v>
      </c>
      <c r="F171" s="279">
        <v>0</v>
      </c>
      <c r="G171" s="279">
        <v>0</v>
      </c>
      <c r="H171" s="186">
        <f>IF(D171=J171,1,0)</f>
        <v>1</v>
      </c>
      <c r="J171" s="186" t="s">
        <v>122</v>
      </c>
    </row>
    <row r="172" spans="1:10" ht="14.25" hidden="1">
      <c r="A172" s="280">
        <v>1.2</v>
      </c>
      <c r="B172" s="281">
        <v>3</v>
      </c>
      <c r="C172" s="279">
        <v>2</v>
      </c>
      <c r="D172" s="279" t="s">
        <v>123</v>
      </c>
      <c r="E172" s="279">
        <v>2</v>
      </c>
      <c r="F172" s="279"/>
      <c r="G172" s="279">
        <v>1</v>
      </c>
      <c r="J172" s="186" t="s">
        <v>123</v>
      </c>
    </row>
    <row r="173" spans="1:7" ht="14.25" hidden="1">
      <c r="A173" s="280">
        <v>1.3</v>
      </c>
      <c r="B173" s="281">
        <v>4</v>
      </c>
      <c r="C173" s="279">
        <v>3</v>
      </c>
      <c r="D173" s="279"/>
      <c r="E173" s="279">
        <v>3</v>
      </c>
      <c r="F173" s="279"/>
      <c r="G173" s="279"/>
    </row>
    <row r="174" spans="1:7" ht="14.25" hidden="1">
      <c r="A174" s="280">
        <v>1.4</v>
      </c>
      <c r="B174" s="281"/>
      <c r="C174" s="279"/>
      <c r="D174" s="279"/>
      <c r="E174" s="279">
        <v>4</v>
      </c>
      <c r="F174" s="279"/>
      <c r="G174" s="279"/>
    </row>
    <row r="175" spans="1:7" ht="14.25" hidden="1">
      <c r="A175" s="280">
        <v>2.1</v>
      </c>
      <c r="B175" s="279"/>
      <c r="C175" s="279"/>
      <c r="D175" s="279"/>
      <c r="E175" s="279">
        <v>5</v>
      </c>
      <c r="F175" s="279"/>
      <c r="G175" s="279"/>
    </row>
    <row r="176" spans="1:7" ht="14.25" hidden="1">
      <c r="A176" s="280">
        <v>2.2</v>
      </c>
      <c r="B176" s="279"/>
      <c r="C176" s="279"/>
      <c r="D176" s="279"/>
      <c r="E176" s="279"/>
      <c r="F176" s="279"/>
      <c r="G176" s="279"/>
    </row>
    <row r="177" spans="1:7" ht="14.25" hidden="1">
      <c r="A177" s="280">
        <v>2.3</v>
      </c>
      <c r="B177" s="279"/>
      <c r="C177" s="279"/>
      <c r="D177" s="279"/>
      <c r="E177" s="279"/>
      <c r="F177" s="279"/>
      <c r="G177" s="279"/>
    </row>
    <row r="178" spans="1:7" ht="14.25" hidden="1">
      <c r="A178" s="280">
        <v>2.4</v>
      </c>
      <c r="B178" s="279"/>
      <c r="C178" s="279"/>
      <c r="D178" s="279"/>
      <c r="E178" s="279"/>
      <c r="F178" s="279"/>
      <c r="G178" s="279"/>
    </row>
    <row r="179" spans="1:7" ht="14.25" hidden="1">
      <c r="A179" s="280">
        <v>2.5</v>
      </c>
      <c r="B179" s="279"/>
      <c r="C179" s="279"/>
      <c r="D179" s="279"/>
      <c r="E179" s="279"/>
      <c r="F179" s="279"/>
      <c r="G179" s="279"/>
    </row>
    <row r="180" spans="1:7" ht="14.25" hidden="1">
      <c r="A180" s="280">
        <v>2.6</v>
      </c>
      <c r="B180" s="279"/>
      <c r="C180" s="279"/>
      <c r="D180" s="279"/>
      <c r="E180" s="279"/>
      <c r="F180" s="279"/>
      <c r="G180" s="279"/>
    </row>
    <row r="181" spans="1:7" ht="14.25" hidden="1">
      <c r="A181" s="280">
        <v>3.1</v>
      </c>
      <c r="B181" s="279"/>
      <c r="C181" s="279"/>
      <c r="D181" s="279"/>
      <c r="E181" s="279"/>
      <c r="F181" s="279"/>
      <c r="G181" s="279"/>
    </row>
    <row r="182" spans="1:7" ht="14.25" hidden="1">
      <c r="A182" s="280">
        <v>3.2</v>
      </c>
      <c r="B182" s="279"/>
      <c r="C182" s="279"/>
      <c r="D182" s="279"/>
      <c r="E182" s="279"/>
      <c r="F182" s="279"/>
      <c r="G182" s="279"/>
    </row>
    <row r="183" spans="1:7" ht="14.25" hidden="1">
      <c r="A183" s="280">
        <v>3.3</v>
      </c>
      <c r="B183" s="279"/>
      <c r="C183" s="279"/>
      <c r="D183" s="279"/>
      <c r="E183" s="279"/>
      <c r="F183" s="279"/>
      <c r="G183" s="279"/>
    </row>
    <row r="184" spans="1:7" ht="14.25" hidden="1">
      <c r="A184" s="280">
        <v>3.4</v>
      </c>
      <c r="B184" s="279"/>
      <c r="C184" s="279"/>
      <c r="D184" s="279"/>
      <c r="E184" s="279"/>
      <c r="F184" s="279"/>
      <c r="G184" s="279"/>
    </row>
    <row r="185" spans="1:7" ht="14.25" hidden="1">
      <c r="A185" s="280">
        <v>3.5</v>
      </c>
      <c r="B185" s="279"/>
      <c r="C185" s="279"/>
      <c r="D185" s="279"/>
      <c r="E185" s="279"/>
      <c r="F185" s="279"/>
      <c r="G185" s="279"/>
    </row>
    <row r="186" spans="1:7" ht="14.25" hidden="1">
      <c r="A186" s="280">
        <v>4.1</v>
      </c>
      <c r="B186" s="279"/>
      <c r="C186" s="279"/>
      <c r="D186" s="279"/>
      <c r="E186" s="279"/>
      <c r="F186" s="279"/>
      <c r="G186" s="279"/>
    </row>
    <row r="187" spans="1:7" ht="14.25" hidden="1">
      <c r="A187" s="280">
        <v>4.2</v>
      </c>
      <c r="B187" s="279"/>
      <c r="C187" s="279"/>
      <c r="D187" s="279"/>
      <c r="E187" s="279"/>
      <c r="F187" s="279"/>
      <c r="G187" s="279"/>
    </row>
    <row r="188" spans="1:7" ht="14.25" hidden="1">
      <c r="A188" s="280">
        <v>4.3</v>
      </c>
      <c r="B188" s="279"/>
      <c r="C188" s="279"/>
      <c r="D188" s="279"/>
      <c r="E188" s="279"/>
      <c r="F188" s="279"/>
      <c r="G188" s="279"/>
    </row>
    <row r="189" spans="1:7" ht="14.25" hidden="1">
      <c r="A189" s="280">
        <v>4.4</v>
      </c>
      <c r="B189" s="279"/>
      <c r="C189" s="279"/>
      <c r="D189" s="279"/>
      <c r="E189" s="279"/>
      <c r="F189" s="279"/>
      <c r="G189" s="279"/>
    </row>
    <row r="190" spans="1:7" ht="14.25" hidden="1">
      <c r="A190" s="280">
        <v>4.5</v>
      </c>
      <c r="B190" s="279"/>
      <c r="C190" s="279"/>
      <c r="D190" s="279"/>
      <c r="E190" s="279"/>
      <c r="F190" s="279"/>
      <c r="G190" s="279"/>
    </row>
    <row r="191" spans="1:7" ht="14.25" hidden="1">
      <c r="A191" s="280">
        <v>4.6</v>
      </c>
      <c r="B191" s="279"/>
      <c r="C191" s="279"/>
      <c r="D191" s="279"/>
      <c r="E191" s="279"/>
      <c r="F191" s="279"/>
      <c r="G191" s="279"/>
    </row>
    <row r="192" spans="1:7" ht="14.25" hidden="1">
      <c r="A192" s="280">
        <v>5.1</v>
      </c>
      <c r="B192" s="279"/>
      <c r="C192" s="279"/>
      <c r="D192" s="279"/>
      <c r="E192" s="279"/>
      <c r="F192" s="279"/>
      <c r="G192" s="279"/>
    </row>
    <row r="193" spans="1:7" ht="14.25" hidden="1">
      <c r="A193" s="280">
        <v>5.2</v>
      </c>
      <c r="B193" s="279"/>
      <c r="C193" s="279"/>
      <c r="D193" s="279"/>
      <c r="E193" s="279"/>
      <c r="F193" s="279"/>
      <c r="G193" s="279"/>
    </row>
    <row r="194" spans="1:7" ht="14.25" hidden="1">
      <c r="A194" s="280">
        <v>5.3</v>
      </c>
      <c r="B194" s="279"/>
      <c r="C194" s="279"/>
      <c r="D194" s="279"/>
      <c r="E194" s="279"/>
      <c r="F194" s="279"/>
      <c r="G194" s="279"/>
    </row>
    <row r="195" spans="1:7" ht="14.25" hidden="1">
      <c r="A195" s="280">
        <v>5.4</v>
      </c>
      <c r="B195" s="279"/>
      <c r="C195" s="279"/>
      <c r="D195" s="279"/>
      <c r="E195" s="279"/>
      <c r="F195" s="279"/>
      <c r="G195" s="279"/>
    </row>
    <row r="196" spans="1:7" ht="14.25" hidden="1">
      <c r="A196" s="280">
        <v>6.1</v>
      </c>
      <c r="B196" s="279"/>
      <c r="C196" s="279"/>
      <c r="D196" s="279"/>
      <c r="E196" s="279"/>
      <c r="F196" s="279"/>
      <c r="G196" s="279"/>
    </row>
    <row r="197" spans="1:7" ht="14.25" hidden="1">
      <c r="A197" s="280">
        <v>6.2</v>
      </c>
      <c r="B197" s="279"/>
      <c r="C197" s="279"/>
      <c r="D197" s="279"/>
      <c r="E197" s="279"/>
      <c r="F197" s="279"/>
      <c r="G197" s="279"/>
    </row>
    <row r="198" spans="1:7" ht="14.25" hidden="1">
      <c r="A198" s="280">
        <v>6.3</v>
      </c>
      <c r="B198" s="279"/>
      <c r="C198" s="279"/>
      <c r="D198" s="279"/>
      <c r="E198" s="279"/>
      <c r="F198" s="279"/>
      <c r="G198" s="279"/>
    </row>
    <row r="199" spans="1:7" ht="14.25" hidden="1">
      <c r="A199" s="280">
        <v>6.4</v>
      </c>
      <c r="B199" s="279"/>
      <c r="C199" s="279"/>
      <c r="D199" s="279"/>
      <c r="E199" s="279"/>
      <c r="F199" s="279"/>
      <c r="G199" s="279"/>
    </row>
    <row r="200" spans="1:7" ht="14.25" hidden="1">
      <c r="A200" s="280">
        <v>6.5</v>
      </c>
      <c r="B200" s="279"/>
      <c r="C200" s="279"/>
      <c r="D200" s="279"/>
      <c r="E200" s="279"/>
      <c r="F200" s="279"/>
      <c r="G200" s="279"/>
    </row>
    <row r="201" spans="1:7" ht="14.25" hidden="1">
      <c r="A201" s="280">
        <v>6.6</v>
      </c>
      <c r="B201" s="279"/>
      <c r="C201" s="279"/>
      <c r="D201" s="279"/>
      <c r="E201" s="279"/>
      <c r="F201" s="279"/>
      <c r="G201" s="279"/>
    </row>
    <row r="202" spans="1:7" ht="14.25" hidden="1">
      <c r="A202" s="280">
        <v>6.7</v>
      </c>
      <c r="B202" s="279"/>
      <c r="C202" s="279"/>
      <c r="D202" s="279"/>
      <c r="E202" s="279"/>
      <c r="F202" s="279"/>
      <c r="G202" s="279"/>
    </row>
    <row r="203" spans="1:7" ht="14.25" hidden="1">
      <c r="A203" s="280">
        <v>6.8</v>
      </c>
      <c r="B203" s="279"/>
      <c r="C203" s="279"/>
      <c r="D203" s="279"/>
      <c r="E203" s="279"/>
      <c r="F203" s="279"/>
      <c r="G203" s="279"/>
    </row>
    <row r="204" spans="1:7" ht="14.25" hidden="1">
      <c r="A204" s="280"/>
      <c r="B204" s="279"/>
      <c r="C204" s="279"/>
      <c r="D204" s="279"/>
      <c r="E204" s="279"/>
      <c r="F204" s="279"/>
      <c r="G204" s="279"/>
    </row>
    <row r="205" ht="14.25" hidden="1">
      <c r="A205" s="282"/>
    </row>
    <row r="206" ht="14.25">
      <c r="A206" s="282"/>
    </row>
    <row r="207" ht="14.25">
      <c r="A207" s="282"/>
    </row>
    <row r="208" ht="14.25">
      <c r="A208" s="282"/>
    </row>
    <row r="209" ht="14.25">
      <c r="A209" s="282"/>
    </row>
    <row r="210" ht="14.25">
      <c r="A210" s="282"/>
    </row>
    <row r="211" ht="14.25">
      <c r="A211" s="282"/>
    </row>
    <row r="212" ht="14.25">
      <c r="A212" s="282"/>
    </row>
    <row r="213" ht="14.25">
      <c r="A213" s="282"/>
    </row>
    <row r="214" ht="14.25">
      <c r="A214" s="282"/>
    </row>
    <row r="215" ht="14.25">
      <c r="A215" s="282"/>
    </row>
    <row r="216" ht="14.25">
      <c r="A216" s="282"/>
    </row>
    <row r="217" ht="14.25">
      <c r="A217" s="282"/>
    </row>
    <row r="218" ht="14.25">
      <c r="A218" s="282"/>
    </row>
    <row r="219" ht="14.25">
      <c r="A219" s="282"/>
    </row>
    <row r="220" ht="14.25">
      <c r="A220" s="282"/>
    </row>
    <row r="221" ht="14.25">
      <c r="A221" s="282"/>
    </row>
    <row r="222" ht="14.25">
      <c r="A222" s="282"/>
    </row>
    <row r="223" ht="14.25">
      <c r="A223" s="282"/>
    </row>
    <row r="224" ht="14.25">
      <c r="A224" s="282"/>
    </row>
    <row r="225" ht="14.25">
      <c r="A225" s="282"/>
    </row>
    <row r="226" ht="14.25">
      <c r="A226" s="282"/>
    </row>
    <row r="227" ht="14.25">
      <c r="A227" s="282"/>
    </row>
    <row r="228" ht="14.25">
      <c r="A228" s="282"/>
    </row>
    <row r="229" ht="14.25">
      <c r="A229" s="282"/>
    </row>
    <row r="230" ht="14.25">
      <c r="A230" s="282"/>
    </row>
    <row r="231" ht="14.25">
      <c r="A231" s="282"/>
    </row>
    <row r="232" ht="14.25">
      <c r="A232" s="282"/>
    </row>
    <row r="233" ht="14.25">
      <c r="A233" s="282"/>
    </row>
    <row r="234" ht="14.25">
      <c r="A234" s="282"/>
    </row>
    <row r="235" ht="14.25">
      <c r="A235" s="282"/>
    </row>
    <row r="236" ht="14.25">
      <c r="A236" s="282"/>
    </row>
    <row r="237" ht="14.25">
      <c r="A237" s="282"/>
    </row>
    <row r="238" ht="14.25">
      <c r="A238" s="282"/>
    </row>
    <row r="239" ht="14.25">
      <c r="A239" s="282"/>
    </row>
    <row r="240" ht="14.25">
      <c r="A240" s="282"/>
    </row>
    <row r="241" ht="14.25">
      <c r="A241" s="282"/>
    </row>
    <row r="242" ht="14.25">
      <c r="A242" s="282"/>
    </row>
    <row r="243" ht="14.25">
      <c r="A243" s="282"/>
    </row>
    <row r="244" ht="14.25">
      <c r="A244" s="282"/>
    </row>
    <row r="245" ht="14.25">
      <c r="A245" s="282"/>
    </row>
    <row r="246" ht="14.25">
      <c r="A246" s="282"/>
    </row>
    <row r="247" ht="14.25">
      <c r="A247" s="282"/>
    </row>
    <row r="248" ht="14.25">
      <c r="A248" s="282"/>
    </row>
    <row r="249" ht="14.25">
      <c r="A249" s="282"/>
    </row>
    <row r="250" ht="14.25">
      <c r="A250" s="282"/>
    </row>
    <row r="251" ht="14.25">
      <c r="A251" s="282"/>
    </row>
    <row r="252" ht="14.25">
      <c r="A252" s="282"/>
    </row>
    <row r="253" ht="14.25">
      <c r="A253" s="282"/>
    </row>
    <row r="254" ht="14.25">
      <c r="A254" s="282"/>
    </row>
    <row r="255" ht="14.25">
      <c r="A255" s="282"/>
    </row>
    <row r="256" ht="14.25">
      <c r="A256" s="282"/>
    </row>
    <row r="257" ht="14.25">
      <c r="A257" s="282"/>
    </row>
    <row r="258" ht="14.25">
      <c r="A258" s="282"/>
    </row>
    <row r="259" ht="14.25">
      <c r="A259" s="282"/>
    </row>
    <row r="260" ht="14.25">
      <c r="A260" s="282"/>
    </row>
    <row r="261" ht="14.25">
      <c r="A261" s="282"/>
    </row>
    <row r="262" ht="14.25">
      <c r="A262" s="282"/>
    </row>
    <row r="263" ht="14.25">
      <c r="A263" s="282"/>
    </row>
  </sheetData>
  <sheetProtection selectLockedCells="1"/>
  <mergeCells count="70">
    <mergeCell ref="G29:G31"/>
    <mergeCell ref="A10:B10"/>
    <mergeCell ref="B2:H3"/>
    <mergeCell ref="A5:C5"/>
    <mergeCell ref="A6:B6"/>
    <mergeCell ref="A7:B7"/>
    <mergeCell ref="A8:B8"/>
    <mergeCell ref="A9:B9"/>
    <mergeCell ref="A14:C14"/>
    <mergeCell ref="A28:F28"/>
    <mergeCell ref="A29:F29"/>
    <mergeCell ref="A30:F30"/>
    <mergeCell ref="A31:F31"/>
    <mergeCell ref="A39:C39"/>
    <mergeCell ref="A40:C40"/>
    <mergeCell ref="A41:C41"/>
    <mergeCell ref="A42:C42"/>
    <mergeCell ref="A43:C43"/>
    <mergeCell ref="A46:A47"/>
    <mergeCell ref="B46:G46"/>
    <mergeCell ref="B48:G48"/>
    <mergeCell ref="A58:C58"/>
    <mergeCell ref="A59:C59"/>
    <mergeCell ref="A60:C60"/>
    <mergeCell ref="A61:C61"/>
    <mergeCell ref="A62:C62"/>
    <mergeCell ref="A63:C63"/>
    <mergeCell ref="A66:A67"/>
    <mergeCell ref="B66:E66"/>
    <mergeCell ref="A78:C78"/>
    <mergeCell ref="A79:C79"/>
    <mergeCell ref="A83:A84"/>
    <mergeCell ref="B83:B84"/>
    <mergeCell ref="F83:F84"/>
    <mergeCell ref="G83:G84"/>
    <mergeCell ref="A117:G117"/>
    <mergeCell ref="A92:G92"/>
    <mergeCell ref="A94:A95"/>
    <mergeCell ref="B94:B95"/>
    <mergeCell ref="F94:F95"/>
    <mergeCell ref="G94:G95"/>
    <mergeCell ref="A114:C114"/>
    <mergeCell ref="A103:C103"/>
    <mergeCell ref="A109:C109"/>
    <mergeCell ref="A110:C110"/>
    <mergeCell ref="A111:C111"/>
    <mergeCell ref="A112:C112"/>
    <mergeCell ref="A113:C113"/>
    <mergeCell ref="D156:D158"/>
    <mergeCell ref="B157:C157"/>
    <mergeCell ref="B158:C158"/>
    <mergeCell ref="A129:E129"/>
    <mergeCell ref="A125:C125"/>
    <mergeCell ref="A127:F127"/>
    <mergeCell ref="A155:C155"/>
    <mergeCell ref="A161:B161"/>
    <mergeCell ref="A140:C140"/>
    <mergeCell ref="A145:B145"/>
    <mergeCell ref="A148:B148"/>
    <mergeCell ref="B156:C156"/>
    <mergeCell ref="A169:F169"/>
    <mergeCell ref="A81:G81"/>
    <mergeCell ref="A118:F118"/>
    <mergeCell ref="A119:F119"/>
    <mergeCell ref="A120:F120"/>
    <mergeCell ref="G118:G120"/>
    <mergeCell ref="F128:F129"/>
    <mergeCell ref="A128:E128"/>
    <mergeCell ref="A165:B165"/>
    <mergeCell ref="A167:B167"/>
  </mergeCells>
  <dataValidations count="7">
    <dataValidation type="list" allowBlank="1" showInputMessage="1" showErrorMessage="1" sqref="B146">
      <formula1>$E$147:$E$151</formula1>
    </dataValidation>
    <dataValidation type="list" allowBlank="1" showInputMessage="1" showErrorMessage="1" sqref="D156:D158">
      <formula1>$B$171:$B$173</formula1>
    </dataValidation>
    <dataValidation type="list" allowBlank="1" showInputMessage="1" showErrorMessage="1" sqref="I128 F128">
      <formula1>Domanda</formula1>
    </dataValidation>
    <dataValidation type="list" allowBlank="1" showInputMessage="1" showErrorMessage="1" sqref="G118">
      <formula1>$E$171:$E$173</formula1>
    </dataValidation>
    <dataValidation type="list" allowBlank="1" showInputMessage="1" showErrorMessage="1" sqref="D103 E111:E114">
      <formula1>$J$171:$J$172</formula1>
    </dataValidation>
    <dataValidation type="list" allowBlank="1" showInputMessage="1" showErrorMessage="1" sqref="G29:H29">
      <formula1>TipoIMP</formula1>
    </dataValidation>
    <dataValidation type="list" allowBlank="1" showInputMessage="1" showErrorMessage="1" sqref="H135 C10">
      <formula1>codIPPC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8"/>
  <sheetViews>
    <sheetView zoomScale="90" zoomScaleNormal="90" zoomScalePageLayoutView="0" workbookViewId="0" topLeftCell="A156">
      <selection activeCell="C166" sqref="C166:C168"/>
    </sheetView>
  </sheetViews>
  <sheetFormatPr defaultColWidth="8.796875" defaultRowHeight="14.25"/>
  <cols>
    <col min="1" max="1" width="20.19921875" style="103" customWidth="1"/>
    <col min="2" max="2" width="13.19921875" style="103" customWidth="1"/>
    <col min="3" max="3" width="43.3984375" style="103" customWidth="1"/>
    <col min="4" max="4" width="12" style="103" customWidth="1"/>
    <col min="5" max="5" width="19.5" style="103" customWidth="1"/>
    <col min="6" max="6" width="13.796875" style="103" customWidth="1"/>
    <col min="7" max="7" width="15.796875" style="103" customWidth="1"/>
    <col min="8" max="8" width="9.69921875" style="103" customWidth="1"/>
    <col min="9" max="9" width="12.3984375" style="103" customWidth="1"/>
    <col min="10" max="16384" width="8.796875" style="103" customWidth="1"/>
  </cols>
  <sheetData>
    <row r="1" ht="15" thickBot="1"/>
    <row r="2" spans="2:8" ht="14.25">
      <c r="B2" s="591" t="s">
        <v>231</v>
      </c>
      <c r="C2" s="592"/>
      <c r="D2" s="592"/>
      <c r="E2" s="592"/>
      <c r="F2" s="592"/>
      <c r="G2" s="592"/>
      <c r="H2" s="593"/>
    </row>
    <row r="3" spans="2:8" ht="39" customHeight="1" thickBot="1">
      <c r="B3" s="594"/>
      <c r="C3" s="595"/>
      <c r="D3" s="595"/>
      <c r="E3" s="595"/>
      <c r="F3" s="595"/>
      <c r="G3" s="595"/>
      <c r="H3" s="596"/>
    </row>
    <row r="4" ht="21" customHeight="1" thickBot="1"/>
    <row r="5" spans="1:3" ht="20.25" thickBot="1">
      <c r="A5" s="604" t="s">
        <v>112</v>
      </c>
      <c r="B5" s="605"/>
      <c r="C5" s="606"/>
    </row>
    <row r="6" spans="1:3" ht="18">
      <c r="A6" s="557" t="s">
        <v>81</v>
      </c>
      <c r="B6" s="558"/>
      <c r="C6" s="141"/>
    </row>
    <row r="7" spans="1:3" ht="18">
      <c r="A7" s="559" t="s">
        <v>99</v>
      </c>
      <c r="B7" s="560"/>
      <c r="C7" s="142"/>
    </row>
    <row r="8" spans="1:3" ht="18">
      <c r="A8" s="559" t="s">
        <v>82</v>
      </c>
      <c r="B8" s="560"/>
      <c r="C8" s="142"/>
    </row>
    <row r="9" spans="1:3" ht="18.75" thickBot="1">
      <c r="A9" s="597" t="s">
        <v>83</v>
      </c>
      <c r="B9" s="598"/>
      <c r="C9" s="143"/>
    </row>
    <row r="12" ht="15" thickBot="1"/>
    <row r="13" spans="1:3" ht="20.25" thickBot="1">
      <c r="A13" s="561" t="s">
        <v>96</v>
      </c>
      <c r="B13" s="562"/>
      <c r="C13" s="563"/>
    </row>
    <row r="14" ht="18">
      <c r="A14" s="104"/>
    </row>
    <row r="25" ht="24">
      <c r="A25" s="105" t="s">
        <v>211</v>
      </c>
    </row>
    <row r="26" ht="15" thickBot="1"/>
    <row r="27" spans="1:7" ht="15" thickBot="1">
      <c r="A27" s="572" t="s">
        <v>2</v>
      </c>
      <c r="B27" s="573"/>
      <c r="C27" s="573"/>
      <c r="D27" s="573"/>
      <c r="E27" s="573"/>
      <c r="F27" s="573"/>
      <c r="G27" s="574"/>
    </row>
    <row r="28" spans="1:8" ht="14.25">
      <c r="A28" s="566" t="s">
        <v>185</v>
      </c>
      <c r="B28" s="567"/>
      <c r="C28" s="567"/>
      <c r="D28" s="567"/>
      <c r="E28" s="567"/>
      <c r="F28" s="567"/>
      <c r="G28" s="568"/>
      <c r="H28" s="575">
        <f>COMPILAZIONE!H29</f>
        <v>0</v>
      </c>
    </row>
    <row r="29" spans="1:8" ht="14.25">
      <c r="A29" s="566" t="s">
        <v>0</v>
      </c>
      <c r="B29" s="567"/>
      <c r="C29" s="567"/>
      <c r="D29" s="567"/>
      <c r="E29" s="567"/>
      <c r="F29" s="567"/>
      <c r="G29" s="568"/>
      <c r="H29" s="576"/>
    </row>
    <row r="30" spans="1:8" ht="15" thickBot="1">
      <c r="A30" s="569" t="s">
        <v>1</v>
      </c>
      <c r="B30" s="570"/>
      <c r="C30" s="570"/>
      <c r="D30" s="570"/>
      <c r="E30" s="570"/>
      <c r="F30" s="570"/>
      <c r="G30" s="571"/>
      <c r="H30" s="577"/>
    </row>
    <row r="31" spans="6:7" ht="21.75" thickBot="1">
      <c r="F31" s="153" t="s">
        <v>212</v>
      </c>
      <c r="G31" s="154">
        <f>SUM(B32:D32)</f>
        <v>0</v>
      </c>
    </row>
    <row r="32" spans="1:4" ht="14.25">
      <c r="A32" s="103" t="s">
        <v>6</v>
      </c>
      <c r="B32" s="106">
        <f>IF(H28=1,2500,)</f>
        <v>0</v>
      </c>
      <c r="C32" s="106">
        <f>IF(H28=2,2000,)</f>
        <v>0</v>
      </c>
      <c r="D32" s="106">
        <f>IF(H28=3,1000,)</f>
        <v>0</v>
      </c>
    </row>
    <row r="34" ht="24">
      <c r="A34" s="105" t="s">
        <v>213</v>
      </c>
    </row>
    <row r="35" spans="4:5" ht="15" thickBot="1">
      <c r="D35" s="75" t="s">
        <v>169</v>
      </c>
      <c r="E35" s="75" t="s">
        <v>165</v>
      </c>
    </row>
    <row r="36" spans="1:5" ht="15" thickBot="1">
      <c r="A36" s="585" t="s">
        <v>164</v>
      </c>
      <c r="B36" s="586"/>
      <c r="C36" s="586"/>
      <c r="D36" s="145">
        <f>COMPILAZIONE!D39</f>
        <v>0</v>
      </c>
      <c r="E36" s="146">
        <f>CALCOLI!E7</f>
        <v>0</v>
      </c>
    </row>
    <row r="37" spans="1:5" ht="15" thickBot="1">
      <c r="A37" s="585" t="s">
        <v>170</v>
      </c>
      <c r="B37" s="586"/>
      <c r="C37" s="586"/>
      <c r="D37" s="145">
        <f>COMPILAZIONE!D40</f>
        <v>0</v>
      </c>
      <c r="E37" s="147">
        <f>CALCOLI!E8</f>
        <v>0</v>
      </c>
    </row>
    <row r="38" spans="1:5" ht="15" thickBot="1">
      <c r="A38" s="585" t="s">
        <v>168</v>
      </c>
      <c r="B38" s="586"/>
      <c r="C38" s="586"/>
      <c r="D38" s="145">
        <f>COMPILAZIONE!D41</f>
        <v>0</v>
      </c>
      <c r="E38" s="147">
        <f>CALCOLI!E9</f>
        <v>0</v>
      </c>
    </row>
    <row r="39" spans="1:5" ht="15" thickBot="1">
      <c r="A39" s="585" t="s">
        <v>166</v>
      </c>
      <c r="B39" s="586"/>
      <c r="C39" s="586"/>
      <c r="D39" s="145">
        <f>COMPILAZIONE!D42</f>
        <v>0</v>
      </c>
      <c r="E39" s="147">
        <f>CALCOLI!E10</f>
        <v>0</v>
      </c>
    </row>
    <row r="40" spans="1:5" ht="15" thickBot="1">
      <c r="A40" s="585" t="s">
        <v>167</v>
      </c>
      <c r="B40" s="586"/>
      <c r="C40" s="586"/>
      <c r="D40" s="145">
        <f>COMPILAZIONE!D43</f>
        <v>0</v>
      </c>
      <c r="E40" s="148">
        <f>CALCOLI!E11</f>
        <v>0</v>
      </c>
    </row>
    <row r="41" spans="1:5" ht="21.75" thickBot="1">
      <c r="A41" s="107"/>
      <c r="B41" s="107"/>
      <c r="C41" s="107"/>
      <c r="D41" s="144" t="s">
        <v>214</v>
      </c>
      <c r="E41" s="154">
        <f>SUM(E36:E40)</f>
        <v>0</v>
      </c>
    </row>
    <row r="43" spans="1:7" ht="15">
      <c r="A43" s="623" t="s">
        <v>21</v>
      </c>
      <c r="B43" s="622" t="s">
        <v>20</v>
      </c>
      <c r="C43" s="622"/>
      <c r="D43" s="622"/>
      <c r="E43" s="622"/>
      <c r="F43" s="622"/>
      <c r="G43" s="622"/>
    </row>
    <row r="44" spans="1:7" ht="15">
      <c r="A44" s="624"/>
      <c r="B44" s="101">
        <v>1</v>
      </c>
      <c r="C44" s="101" t="s">
        <v>15</v>
      </c>
      <c r="D44" s="101" t="s">
        <v>16</v>
      </c>
      <c r="E44" s="101" t="s">
        <v>17</v>
      </c>
      <c r="F44" s="101" t="s">
        <v>18</v>
      </c>
      <c r="G44" s="101" t="s">
        <v>19</v>
      </c>
    </row>
    <row r="45" spans="1:7" ht="18" customHeight="1">
      <c r="A45" s="98" t="s">
        <v>14</v>
      </c>
      <c r="B45" s="567">
        <v>200</v>
      </c>
      <c r="C45" s="567"/>
      <c r="D45" s="567"/>
      <c r="E45" s="567"/>
      <c r="F45" s="567"/>
      <c r="G45" s="567"/>
    </row>
    <row r="46" spans="1:7" ht="18" customHeight="1">
      <c r="A46" s="98" t="s">
        <v>10</v>
      </c>
      <c r="B46" s="149">
        <v>800</v>
      </c>
      <c r="C46" s="149">
        <v>1250</v>
      </c>
      <c r="D46" s="149">
        <v>2000</v>
      </c>
      <c r="E46" s="149">
        <v>3000</v>
      </c>
      <c r="F46" s="149">
        <v>4500</v>
      </c>
      <c r="G46" s="149">
        <v>12000</v>
      </c>
    </row>
    <row r="47" spans="1:7" ht="18" customHeight="1">
      <c r="A47" s="98" t="s">
        <v>11</v>
      </c>
      <c r="B47" s="149">
        <v>1500</v>
      </c>
      <c r="C47" s="149">
        <v>2500</v>
      </c>
      <c r="D47" s="149">
        <v>4000</v>
      </c>
      <c r="E47" s="149">
        <v>5000</v>
      </c>
      <c r="F47" s="149">
        <v>7000</v>
      </c>
      <c r="G47" s="149">
        <v>20000</v>
      </c>
    </row>
    <row r="48" spans="1:7" ht="18" customHeight="1">
      <c r="A48" s="98" t="s">
        <v>12</v>
      </c>
      <c r="B48" s="149">
        <v>3000</v>
      </c>
      <c r="C48" s="149">
        <v>7500</v>
      </c>
      <c r="D48" s="149">
        <v>12000</v>
      </c>
      <c r="E48" s="149">
        <v>16500</v>
      </c>
      <c r="F48" s="149">
        <v>20000</v>
      </c>
      <c r="G48" s="149">
        <v>33000</v>
      </c>
    </row>
    <row r="49" spans="1:7" ht="18" customHeight="1">
      <c r="A49" s="98" t="s">
        <v>13</v>
      </c>
      <c r="B49" s="149">
        <v>3500</v>
      </c>
      <c r="C49" s="149">
        <v>8000</v>
      </c>
      <c r="D49" s="149">
        <v>16000</v>
      </c>
      <c r="E49" s="149">
        <v>30000</v>
      </c>
      <c r="F49" s="149">
        <v>34000</v>
      </c>
      <c r="G49" s="149">
        <v>49000</v>
      </c>
    </row>
    <row r="50" ht="14.25">
      <c r="D50" s="83" t="s">
        <v>186</v>
      </c>
    </row>
    <row r="51" ht="14.25">
      <c r="D51" s="83"/>
    </row>
    <row r="53" ht="24">
      <c r="A53" s="105" t="s">
        <v>215</v>
      </c>
    </row>
    <row r="54" spans="1:5" ht="18.75" thickBot="1">
      <c r="A54" s="60"/>
      <c r="D54" s="75" t="s">
        <v>171</v>
      </c>
      <c r="E54" s="75" t="s">
        <v>165</v>
      </c>
    </row>
    <row r="55" spans="1:5" ht="15" thickBot="1">
      <c r="A55" s="585" t="s">
        <v>239</v>
      </c>
      <c r="B55" s="586"/>
      <c r="C55" s="586"/>
      <c r="D55" s="145">
        <f>COMPILAZIONE!D58</f>
        <v>0</v>
      </c>
      <c r="E55" s="146">
        <f>CALCOLI!E36</f>
        <v>0</v>
      </c>
    </row>
    <row r="56" spans="1:5" ht="15" thickBot="1">
      <c r="A56" s="585" t="s">
        <v>240</v>
      </c>
      <c r="B56" s="586"/>
      <c r="C56" s="586"/>
      <c r="D56" s="145">
        <f>COMPILAZIONE!D59</f>
        <v>0</v>
      </c>
      <c r="E56" s="147">
        <f>CALCOLI!E37</f>
        <v>0</v>
      </c>
    </row>
    <row r="57" spans="1:5" ht="15" thickBot="1">
      <c r="A57" s="585" t="s">
        <v>241</v>
      </c>
      <c r="B57" s="586"/>
      <c r="C57" s="586"/>
      <c r="D57" s="145">
        <f>COMPILAZIONE!D60</f>
        <v>0</v>
      </c>
      <c r="E57" s="147">
        <f>CALCOLI!E38</f>
        <v>0</v>
      </c>
    </row>
    <row r="58" spans="1:5" ht="15" thickBot="1">
      <c r="A58" s="585" t="s">
        <v>242</v>
      </c>
      <c r="B58" s="586"/>
      <c r="C58" s="586"/>
      <c r="D58" s="145">
        <f>COMPILAZIONE!D61</f>
        <v>0</v>
      </c>
      <c r="E58" s="147">
        <f>CALCOLI!E39</f>
        <v>0</v>
      </c>
    </row>
    <row r="59" spans="1:5" ht="15" thickBot="1">
      <c r="A59" s="585" t="s">
        <v>243</v>
      </c>
      <c r="B59" s="586"/>
      <c r="C59" s="586"/>
      <c r="D59" s="145">
        <f>COMPILAZIONE!D62</f>
        <v>0</v>
      </c>
      <c r="E59" s="147">
        <f>CALCOLI!E40</f>
        <v>0</v>
      </c>
    </row>
    <row r="60" spans="1:5" ht="15" thickBot="1">
      <c r="A60" s="585" t="s">
        <v>237</v>
      </c>
      <c r="B60" s="586"/>
      <c r="C60" s="586"/>
      <c r="D60" s="145">
        <f>COMPILAZIONE!D63</f>
        <v>0</v>
      </c>
      <c r="E60" s="148">
        <f>CALCOLI!E41</f>
        <v>0</v>
      </c>
    </row>
    <row r="61" spans="1:5" ht="21.75" thickBot="1">
      <c r="A61" s="107"/>
      <c r="B61" s="107"/>
      <c r="C61" s="107"/>
      <c r="D61" s="144" t="s">
        <v>216</v>
      </c>
      <c r="E61" s="154">
        <f>SUM(E55:E60)</f>
        <v>0</v>
      </c>
    </row>
    <row r="62" spans="1:3" ht="24" customHeight="1">
      <c r="A62" s="107"/>
      <c r="B62" s="107"/>
      <c r="C62" s="107"/>
    </row>
    <row r="63" spans="1:5" ht="22.5" customHeight="1">
      <c r="A63" s="618" t="s">
        <v>21</v>
      </c>
      <c r="B63" s="619" t="s">
        <v>238</v>
      </c>
      <c r="C63" s="619"/>
      <c r="D63" s="619"/>
      <c r="E63" s="619"/>
    </row>
    <row r="64" spans="1:5" ht="14.25">
      <c r="A64" s="618"/>
      <c r="B64" s="99">
        <v>1</v>
      </c>
      <c r="C64" s="99" t="s">
        <v>15</v>
      </c>
      <c r="D64" s="99" t="s">
        <v>16</v>
      </c>
      <c r="E64" s="99" t="s">
        <v>27</v>
      </c>
    </row>
    <row r="65" spans="1:5" ht="15">
      <c r="A65" s="76" t="s">
        <v>28</v>
      </c>
      <c r="B65" s="78">
        <v>50</v>
      </c>
      <c r="C65" s="78">
        <v>100</v>
      </c>
      <c r="D65" s="78">
        <v>100</v>
      </c>
      <c r="E65" s="78">
        <v>400</v>
      </c>
    </row>
    <row r="66" spans="1:5" ht="15">
      <c r="A66" s="76" t="s">
        <v>10</v>
      </c>
      <c r="B66" s="78">
        <v>950</v>
      </c>
      <c r="C66" s="78">
        <v>1500</v>
      </c>
      <c r="D66" s="78">
        <v>2000</v>
      </c>
      <c r="E66" s="78">
        <v>5000</v>
      </c>
    </row>
    <row r="67" spans="1:5" ht="15">
      <c r="A67" s="76" t="s">
        <v>29</v>
      </c>
      <c r="B67" s="78">
        <v>1750</v>
      </c>
      <c r="C67" s="78">
        <v>2800</v>
      </c>
      <c r="D67" s="78">
        <v>4200</v>
      </c>
      <c r="E67" s="78">
        <v>8000</v>
      </c>
    </row>
    <row r="68" spans="1:5" ht="15">
      <c r="A68" s="76" t="s">
        <v>30</v>
      </c>
      <c r="B68" s="78">
        <v>2300</v>
      </c>
      <c r="C68" s="78">
        <v>3800</v>
      </c>
      <c r="D68" s="78">
        <v>5800</v>
      </c>
      <c r="E68" s="78">
        <v>10000</v>
      </c>
    </row>
    <row r="69" spans="1:5" ht="15">
      <c r="A69" s="76" t="s">
        <v>31</v>
      </c>
      <c r="B69" s="78">
        <v>3500</v>
      </c>
      <c r="C69" s="78">
        <v>7500</v>
      </c>
      <c r="D69" s="78">
        <v>15000</v>
      </c>
      <c r="E69" s="78">
        <v>29000</v>
      </c>
    </row>
    <row r="70" spans="1:5" ht="15">
      <c r="A70" s="76" t="s">
        <v>32</v>
      </c>
      <c r="B70" s="78">
        <v>4500</v>
      </c>
      <c r="C70" s="78">
        <v>10000</v>
      </c>
      <c r="D70" s="78">
        <v>20000</v>
      </c>
      <c r="E70" s="78">
        <v>30000</v>
      </c>
    </row>
    <row r="71" ht="14.25">
      <c r="C71" s="83" t="s">
        <v>187</v>
      </c>
    </row>
    <row r="72" ht="15" thickBot="1"/>
    <row r="73" spans="1:5" ht="24">
      <c r="A73" s="105" t="s">
        <v>217</v>
      </c>
      <c r="B73" s="96"/>
      <c r="E73" s="79" t="s">
        <v>210</v>
      </c>
    </row>
    <row r="74" spans="4:5" ht="14.25">
      <c r="D74" s="103" t="s">
        <v>179</v>
      </c>
      <c r="E74" s="111" t="s">
        <v>180</v>
      </c>
    </row>
    <row r="75" spans="1:5" ht="14.25">
      <c r="A75" s="599" t="s">
        <v>34</v>
      </c>
      <c r="B75" s="599"/>
      <c r="C75" s="599"/>
      <c r="D75" s="151">
        <f>COMPILAZIONE!D78</f>
        <v>0</v>
      </c>
      <c r="E75" s="151">
        <f>COMPILAZIONE!E78</f>
        <v>0</v>
      </c>
    </row>
    <row r="76" spans="1:5" ht="14.25">
      <c r="A76" s="599" t="s">
        <v>35</v>
      </c>
      <c r="B76" s="599"/>
      <c r="C76" s="599"/>
      <c r="D76" s="151">
        <f>COMPILAZIONE!D79</f>
        <v>0</v>
      </c>
      <c r="E76" s="151">
        <f>COMPILAZIONE!E79</f>
        <v>0</v>
      </c>
    </row>
    <row r="77" ht="15" thickBot="1"/>
    <row r="78" spans="1:7" ht="46.5" customHeight="1">
      <c r="A78" s="610" t="s">
        <v>37</v>
      </c>
      <c r="B78" s="610">
        <v>0</v>
      </c>
      <c r="C78" s="80" t="s">
        <v>38</v>
      </c>
      <c r="D78" s="80" t="s">
        <v>40</v>
      </c>
      <c r="E78" s="80" t="s">
        <v>42</v>
      </c>
      <c r="F78" s="610" t="s">
        <v>44</v>
      </c>
      <c r="G78" s="610" t="s">
        <v>45</v>
      </c>
    </row>
    <row r="79" spans="1:7" ht="15" thickBot="1">
      <c r="A79" s="611"/>
      <c r="B79" s="611"/>
      <c r="C79" s="81" t="s">
        <v>39</v>
      </c>
      <c r="D79" s="81" t="s">
        <v>41</v>
      </c>
      <c r="E79" s="81" t="s">
        <v>43</v>
      </c>
      <c r="F79" s="611"/>
      <c r="G79" s="611"/>
    </row>
    <row r="80" spans="1:8" ht="18" thickBot="1">
      <c r="A80" s="65" t="s">
        <v>46</v>
      </c>
      <c r="B80" s="64">
        <v>0</v>
      </c>
      <c r="C80" s="64">
        <v>500</v>
      </c>
      <c r="D80" s="64">
        <v>1000</v>
      </c>
      <c r="E80" s="64">
        <v>2200</v>
      </c>
      <c r="F80" s="64">
        <v>3200</v>
      </c>
      <c r="G80" s="64" t="s">
        <v>218</v>
      </c>
      <c r="H80" s="109">
        <f>G83</f>
        <v>0</v>
      </c>
    </row>
    <row r="81" spans="1:8" ht="29.25" thickBot="1">
      <c r="A81" s="65" t="s">
        <v>47</v>
      </c>
      <c r="B81" s="64">
        <v>0</v>
      </c>
      <c r="C81" s="64">
        <v>0</v>
      </c>
      <c r="D81" s="64">
        <v>500</v>
      </c>
      <c r="E81" s="64">
        <v>1200</v>
      </c>
      <c r="F81" s="64">
        <v>1800</v>
      </c>
      <c r="G81" s="64" t="s">
        <v>219</v>
      </c>
      <c r="H81" s="110">
        <f>G84</f>
        <v>0</v>
      </c>
    </row>
    <row r="83" spans="1:7" ht="14.25" hidden="1">
      <c r="A83" s="63" t="s">
        <v>48</v>
      </c>
      <c r="B83" s="63">
        <f>IF($D$75=0,0,0)</f>
        <v>0</v>
      </c>
      <c r="C83" s="63">
        <f>IF(AND($D$75&gt;0,$D$75&lt;=1),500,0)</f>
        <v>0</v>
      </c>
      <c r="D83" s="63">
        <f>IF(AND($D$75&gt;1,$D$75&lt;=10),1000,0)</f>
        <v>0</v>
      </c>
      <c r="E83" s="63">
        <f>IF(AND($D$75&gt;10,$D$75&lt;=50),2200,0)</f>
        <v>0</v>
      </c>
      <c r="F83" s="63">
        <f>IF($D$75&gt;50,3200,0)</f>
        <v>0</v>
      </c>
      <c r="G83" s="62">
        <f>SUM(B83:F83)</f>
        <v>0</v>
      </c>
    </row>
    <row r="84" spans="1:7" ht="14.25" hidden="1">
      <c r="A84" s="63" t="s">
        <v>49</v>
      </c>
      <c r="B84" s="63">
        <f>IF($D$76=0,0,0)</f>
        <v>0</v>
      </c>
      <c r="C84" s="63">
        <f>IF(AND($D$76&gt;0,$D$76&lt;=1),0,0)</f>
        <v>0</v>
      </c>
      <c r="D84" s="63">
        <f>IF(AND($D$76&gt;1,$D$76&lt;=10),500,0)</f>
        <v>0</v>
      </c>
      <c r="E84" s="63">
        <f>IF(AND($D$76&gt;10,$D$76&lt;=50),1200,0)</f>
        <v>0</v>
      </c>
      <c r="F84" s="63">
        <f>IF($D$76&gt;50,1800,0)</f>
        <v>0</v>
      </c>
      <c r="G84" s="62">
        <f>SUM(B84:F84)</f>
        <v>0</v>
      </c>
    </row>
    <row r="86" ht="15" thickBot="1"/>
    <row r="87" spans="1:7" ht="15" thickBot="1">
      <c r="A87" s="601" t="s">
        <v>181</v>
      </c>
      <c r="B87" s="602"/>
      <c r="C87" s="602"/>
      <c r="D87" s="602"/>
      <c r="E87" s="602"/>
      <c r="F87" s="602"/>
      <c r="G87" s="603"/>
    </row>
    <row r="88" ht="15" thickBot="1"/>
    <row r="89" spans="1:7" ht="30.75" customHeight="1">
      <c r="A89" s="620" t="s">
        <v>172</v>
      </c>
      <c r="B89" s="620">
        <v>0</v>
      </c>
      <c r="C89" s="133" t="s">
        <v>38</v>
      </c>
      <c r="D89" s="133" t="s">
        <v>174</v>
      </c>
      <c r="E89" s="133" t="s">
        <v>176</v>
      </c>
      <c r="F89" s="620" t="s">
        <v>178</v>
      </c>
      <c r="G89" s="620" t="s">
        <v>45</v>
      </c>
    </row>
    <row r="90" spans="1:10" ht="15" thickBot="1">
      <c r="A90" s="621"/>
      <c r="B90" s="621"/>
      <c r="C90" s="134" t="s">
        <v>173</v>
      </c>
      <c r="D90" s="134" t="s">
        <v>175</v>
      </c>
      <c r="E90" s="134" t="s">
        <v>177</v>
      </c>
      <c r="F90" s="621"/>
      <c r="G90" s="621"/>
      <c r="J90" s="75"/>
    </row>
    <row r="91" spans="1:8" ht="18" thickBot="1">
      <c r="A91" s="135" t="s">
        <v>46</v>
      </c>
      <c r="B91" s="136">
        <v>0</v>
      </c>
      <c r="C91" s="136">
        <v>1200</v>
      </c>
      <c r="D91" s="136">
        <v>2400</v>
      </c>
      <c r="E91" s="136">
        <v>3600</v>
      </c>
      <c r="F91" s="136">
        <v>4800</v>
      </c>
      <c r="G91" s="137" t="s">
        <v>218</v>
      </c>
      <c r="H91" s="109">
        <f>G94</f>
        <v>0</v>
      </c>
    </row>
    <row r="92" spans="1:8" ht="29.25" thickBot="1">
      <c r="A92" s="135" t="s">
        <v>47</v>
      </c>
      <c r="B92" s="136">
        <v>0</v>
      </c>
      <c r="C92" s="136">
        <v>1000</v>
      </c>
      <c r="D92" s="136">
        <v>2000</v>
      </c>
      <c r="E92" s="136">
        <v>3000</v>
      </c>
      <c r="F92" s="136">
        <v>4000</v>
      </c>
      <c r="G92" s="137" t="s">
        <v>219</v>
      </c>
      <c r="H92" s="110">
        <f>G95</f>
        <v>0</v>
      </c>
    </row>
    <row r="94" spans="1:7" ht="14.25" hidden="1">
      <c r="A94" s="63" t="s">
        <v>48</v>
      </c>
      <c r="B94" s="63">
        <f>IF($E$75=0,0,0)</f>
        <v>0</v>
      </c>
      <c r="C94" s="63">
        <f>IF(AND($E$75&gt;0,$E$75&lt;=400000),1200,0)</f>
        <v>0</v>
      </c>
      <c r="D94" s="63">
        <f>IF(AND($E$75&gt;400000,$E$75&lt;=800000),2400,0)</f>
        <v>0</v>
      </c>
      <c r="E94" s="63">
        <f>IF(AND($E$75&gt;800000,$E$75&lt;=1600000),3600,0)</f>
        <v>0</v>
      </c>
      <c r="F94" s="63">
        <f>IF($E$75&gt;1600000,4800,0)</f>
        <v>0</v>
      </c>
      <c r="G94" s="62">
        <f>SUM(B94:F94)</f>
        <v>0</v>
      </c>
    </row>
    <row r="95" spans="1:7" ht="14.25" hidden="1">
      <c r="A95" s="63" t="s">
        <v>49</v>
      </c>
      <c r="B95" s="63">
        <f>IF($E$76=0,0,0)</f>
        <v>0</v>
      </c>
      <c r="C95" s="63">
        <f>IF(AND($E$76&gt;0,$E$76&lt;=400000),1200,0)</f>
        <v>0</v>
      </c>
      <c r="D95" s="63">
        <f>IF(AND($E$76&gt;400000,$E$76&lt;=800000),2400,0)</f>
        <v>0</v>
      </c>
      <c r="E95" s="63">
        <f>IF(AND($E$76&gt;800000,$E$76&lt;=1600000),3600,0)</f>
        <v>0</v>
      </c>
      <c r="F95" s="63">
        <f>IF($E$76&gt;1600000,4800,0)</f>
        <v>0</v>
      </c>
      <c r="G95" s="62">
        <f>SUM(B95:F95)</f>
        <v>0</v>
      </c>
    </row>
    <row r="97" spans="5:6" ht="15" thickBot="1">
      <c r="E97" s="103" t="s">
        <v>50</v>
      </c>
      <c r="F97" s="103" t="s">
        <v>51</v>
      </c>
    </row>
    <row r="98" spans="1:6" ht="15" thickBot="1">
      <c r="A98" s="599" t="s">
        <v>36</v>
      </c>
      <c r="B98" s="599"/>
      <c r="C98" s="585"/>
      <c r="D98" s="113">
        <f>COMPILAZIONE!D103</f>
        <v>0</v>
      </c>
      <c r="E98" s="114">
        <f>IF(D98=H106,1,0)</f>
        <v>0</v>
      </c>
      <c r="F98" s="61">
        <f>IF(E98=0,0,300)</f>
        <v>0</v>
      </c>
    </row>
    <row r="99" ht="15" thickBot="1">
      <c r="E99" s="114"/>
    </row>
    <row r="100" spans="4:5" ht="21.75" thickBot="1">
      <c r="D100" s="87" t="s">
        <v>220</v>
      </c>
      <c r="E100" s="154">
        <f>SUM(F98+G95+G94+G84+G83)</f>
        <v>0</v>
      </c>
    </row>
    <row r="102" spans="1:3" ht="19.5">
      <c r="A102" s="105" t="s">
        <v>182</v>
      </c>
      <c r="B102" s="96"/>
      <c r="C102" s="96"/>
    </row>
    <row r="104" spans="1:7" ht="14.25">
      <c r="A104" s="600" t="s">
        <v>54</v>
      </c>
      <c r="B104" s="600"/>
      <c r="C104" s="600"/>
      <c r="D104" s="67" t="s">
        <v>45</v>
      </c>
      <c r="F104" s="103" t="s">
        <v>50</v>
      </c>
      <c r="G104" s="103" t="s">
        <v>51</v>
      </c>
    </row>
    <row r="105" spans="1:7" ht="18">
      <c r="A105" s="599" t="s">
        <v>55</v>
      </c>
      <c r="B105" s="599"/>
      <c r="C105" s="599"/>
      <c r="D105" s="115" t="s">
        <v>221</v>
      </c>
      <c r="E105" s="116" t="s">
        <v>60</v>
      </c>
      <c r="G105" s="106">
        <f>F116</f>
        <v>0</v>
      </c>
    </row>
    <row r="106" spans="1:8" ht="18">
      <c r="A106" s="599" t="s">
        <v>56</v>
      </c>
      <c r="B106" s="599"/>
      <c r="C106" s="599"/>
      <c r="D106" s="115" t="s">
        <v>222</v>
      </c>
      <c r="E106" s="95" t="str">
        <f>COMPILAZIONE!E111</f>
        <v>NO</v>
      </c>
      <c r="F106" s="114">
        <f>IF(E106=H106,1,0)</f>
        <v>0</v>
      </c>
      <c r="G106" s="103">
        <f>IF(F106=0,0,3500)</f>
        <v>0</v>
      </c>
      <c r="H106" s="103" t="s">
        <v>122</v>
      </c>
    </row>
    <row r="107" spans="1:8" ht="18">
      <c r="A107" s="599" t="s">
        <v>57</v>
      </c>
      <c r="B107" s="599"/>
      <c r="C107" s="599"/>
      <c r="D107" s="115" t="s">
        <v>223</v>
      </c>
      <c r="E107" s="95" t="str">
        <f>COMPILAZIONE!E112</f>
        <v>NO</v>
      </c>
      <c r="F107" s="114">
        <f>IF(E107=H107,1,0)</f>
        <v>0</v>
      </c>
      <c r="G107" s="103">
        <f>IF(F107=0,0,700)</f>
        <v>0</v>
      </c>
      <c r="H107" s="103" t="s">
        <v>122</v>
      </c>
    </row>
    <row r="108" spans="1:8" ht="18">
      <c r="A108" s="599" t="s">
        <v>58</v>
      </c>
      <c r="B108" s="599"/>
      <c r="C108" s="599"/>
      <c r="D108" s="115" t="s">
        <v>224</v>
      </c>
      <c r="E108" s="95" t="str">
        <f>COMPILAZIONE!E113</f>
        <v>NO</v>
      </c>
      <c r="F108" s="114">
        <f>IF(E108=H108,1,0)</f>
        <v>0</v>
      </c>
      <c r="G108" s="103">
        <f>IF(F108=0,0,1400)</f>
        <v>0</v>
      </c>
      <c r="H108" s="103" t="s">
        <v>122</v>
      </c>
    </row>
    <row r="109" spans="1:8" ht="18.75" thickBot="1">
      <c r="A109" s="599" t="s">
        <v>59</v>
      </c>
      <c r="B109" s="599"/>
      <c r="C109" s="599"/>
      <c r="D109" s="115" t="s">
        <v>225</v>
      </c>
      <c r="E109" s="95" t="str">
        <f>COMPILAZIONE!E114</f>
        <v>NO</v>
      </c>
      <c r="F109" s="114">
        <f>IF(E109=H109,1,0)</f>
        <v>0</v>
      </c>
      <c r="G109" s="103">
        <f>IF(F109=0,0,5600)</f>
        <v>0</v>
      </c>
      <c r="H109" s="103" t="s">
        <v>122</v>
      </c>
    </row>
    <row r="110" spans="6:7" ht="18.75" thickBot="1">
      <c r="F110" s="87" t="s">
        <v>106</v>
      </c>
      <c r="G110" s="154">
        <f>SUM(G105:G109)</f>
        <v>0</v>
      </c>
    </row>
    <row r="111" spans="1:5" ht="19.5" customHeight="1" thickBot="1">
      <c r="A111" s="578" t="s">
        <v>55</v>
      </c>
      <c r="B111" s="578"/>
      <c r="C111" s="578"/>
      <c r="D111" s="578"/>
      <c r="E111" s="578"/>
    </row>
    <row r="112" spans="1:7" ht="30" customHeight="1" thickBot="1">
      <c r="A112" s="587" t="s">
        <v>64</v>
      </c>
      <c r="B112" s="588"/>
      <c r="C112" s="588"/>
      <c r="D112" s="588"/>
      <c r="E112" s="589"/>
      <c r="F112" s="106">
        <f>IF(G112=1,0,0)</f>
        <v>0</v>
      </c>
      <c r="G112" s="82">
        <f>COMPILAZIONE!G118</f>
        <v>0</v>
      </c>
    </row>
    <row r="113" spans="1:6" ht="30" customHeight="1">
      <c r="A113" s="587" t="s">
        <v>183</v>
      </c>
      <c r="B113" s="588"/>
      <c r="C113" s="588"/>
      <c r="D113" s="588"/>
      <c r="E113" s="589"/>
      <c r="F113" s="106">
        <f>IF(G112=2,500,0)</f>
        <v>0</v>
      </c>
    </row>
    <row r="114" spans="1:6" ht="30" customHeight="1">
      <c r="A114" s="587" t="s">
        <v>184</v>
      </c>
      <c r="B114" s="588"/>
      <c r="C114" s="588"/>
      <c r="D114" s="588"/>
      <c r="E114" s="589"/>
      <c r="F114" s="106">
        <f>IF(G112=3,1000,0)</f>
        <v>0</v>
      </c>
    </row>
    <row r="116" spans="5:6" ht="14.25">
      <c r="E116" s="103" t="s">
        <v>68</v>
      </c>
      <c r="F116" s="106">
        <f>SUM(F112:F114)</f>
        <v>0</v>
      </c>
    </row>
    <row r="119" spans="1:3" ht="19.5">
      <c r="A119" s="590" t="s">
        <v>73</v>
      </c>
      <c r="B119" s="590"/>
      <c r="C119" s="590"/>
    </row>
    <row r="120" spans="9:10" ht="14.25">
      <c r="I120" s="579" t="s">
        <v>190</v>
      </c>
      <c r="J120" s="579" t="s">
        <v>189</v>
      </c>
    </row>
    <row r="121" spans="1:10" ht="14.25">
      <c r="A121" s="607" t="s">
        <v>191</v>
      </c>
      <c r="B121" s="608"/>
      <c r="C121" s="608"/>
      <c r="D121" s="609"/>
      <c r="E121" s="68" t="s">
        <v>188</v>
      </c>
      <c r="F121" s="68" t="s">
        <v>77</v>
      </c>
      <c r="G121" s="68" t="s">
        <v>78</v>
      </c>
      <c r="I121" s="579"/>
      <c r="J121" s="579"/>
    </row>
    <row r="122" spans="1:10" ht="14.25">
      <c r="A122" s="585" t="s">
        <v>75</v>
      </c>
      <c r="B122" s="586"/>
      <c r="C122" s="586"/>
      <c r="D122" s="617"/>
      <c r="E122" s="69">
        <f>IF(AND($I$122=1,$J$122=1),1000,)</f>
        <v>0</v>
      </c>
      <c r="F122" s="69">
        <f>IF(AND($I$122=1,$J$122=2),1000,)</f>
        <v>0</v>
      </c>
      <c r="G122" s="69">
        <f>IF(AND($I$122=1,$J$122=3),500,)</f>
        <v>0</v>
      </c>
      <c r="I122" s="564">
        <f>COMPILAZIONE!F128</f>
        <v>0</v>
      </c>
      <c r="J122" s="117">
        <f>H28</f>
        <v>0</v>
      </c>
    </row>
    <row r="123" spans="1:9" ht="14.25">
      <c r="A123" s="585" t="s">
        <v>76</v>
      </c>
      <c r="B123" s="586"/>
      <c r="C123" s="586"/>
      <c r="D123" s="617"/>
      <c r="E123" s="69">
        <f>IF(AND($I$122=0,$J$122=1),0,)</f>
        <v>0</v>
      </c>
      <c r="F123" s="69">
        <f>IF(AND($I$122=0,$J$122=2),0,)</f>
        <v>0</v>
      </c>
      <c r="G123" s="69">
        <f>IF(AND($I$122=0,$J$122=3),0,)</f>
        <v>0</v>
      </c>
      <c r="I123" s="565"/>
    </row>
    <row r="124" ht="15" thickBot="1"/>
    <row r="125" spans="5:6" ht="21.75" thickBot="1">
      <c r="E125" s="87" t="s">
        <v>226</v>
      </c>
      <c r="F125" s="154">
        <f>SUM(E122:G123)</f>
        <v>0</v>
      </c>
    </row>
    <row r="129" ht="15" thickBot="1"/>
    <row r="130" spans="1:8" ht="18.75" thickBot="1">
      <c r="A130" s="613" t="s">
        <v>80</v>
      </c>
      <c r="B130" s="613"/>
      <c r="C130" s="613"/>
      <c r="G130" s="155" t="s">
        <v>91</v>
      </c>
      <c r="H130" s="156">
        <v>5.2</v>
      </c>
    </row>
    <row r="131" spans="5:8" ht="15" thickBot="1">
      <c r="E131" s="89"/>
      <c r="G131" s="88" t="s">
        <v>88</v>
      </c>
      <c r="H131" s="152">
        <f>E132</f>
        <v>1.4</v>
      </c>
    </row>
    <row r="132" spans="1:5" ht="14.25">
      <c r="A132" s="103" t="s">
        <v>88</v>
      </c>
      <c r="B132" s="103">
        <f>IF(NOT(OR($H$130=1.1,$H$130=2.2,H130=5.2,H130=5.4)),0.7,0)</f>
        <v>0</v>
      </c>
      <c r="C132" s="103">
        <f>IF(OR($H$130=1.1,$H$130=2.2,$H$130=5.4),1,0)</f>
        <v>0</v>
      </c>
      <c r="D132" s="103">
        <f>IF(OR($H$130=5.2),1.4,0)</f>
        <v>1.4</v>
      </c>
      <c r="E132" s="62">
        <f>SUM(B132:D132)</f>
        <v>1.4</v>
      </c>
    </row>
    <row r="135" spans="1:3" ht="20.25" thickBot="1">
      <c r="A135" s="590" t="s">
        <v>96</v>
      </c>
      <c r="B135" s="590"/>
      <c r="C135" s="590"/>
    </row>
    <row r="136" spans="1:10" ht="21.75" thickBot="1">
      <c r="A136" s="77" t="s">
        <v>200</v>
      </c>
      <c r="B136" s="154">
        <f>SUM(G31,E41,E61,E100,G110)-F125</f>
        <v>0</v>
      </c>
      <c r="C136" s="71"/>
      <c r="F136" s="90">
        <v>1</v>
      </c>
      <c r="G136" s="91">
        <v>2</v>
      </c>
      <c r="H136" s="91">
        <v>3</v>
      </c>
      <c r="I136" s="91">
        <v>4</v>
      </c>
      <c r="J136" s="92">
        <v>5</v>
      </c>
    </row>
    <row r="137" spans="5:10" ht="18" thickBot="1">
      <c r="E137" s="118" t="s">
        <v>227</v>
      </c>
      <c r="F137" s="119">
        <f>IF(AND($B$138&gt;=5000,$B$141=1),0.2*$B$138,0)</f>
        <v>0</v>
      </c>
      <c r="G137" s="119">
        <f>IF(AND($B$138&gt;=5000,$B$141=2),0.3*$B$138,0)</f>
        <v>0</v>
      </c>
      <c r="H137" s="119">
        <f>IF(AND($B$138&gt;=5000,$B$141=3),0.05*$B$138,0)</f>
        <v>0</v>
      </c>
      <c r="I137" s="119">
        <f>IF(AND($B$138&gt;=5000,$B$141=4),0.25*$B$138,0)</f>
        <v>0</v>
      </c>
      <c r="J137" s="119">
        <f>IF(AND($B$138&gt;=5000,$B$141=5),0.35*$B$138,0)</f>
        <v>0</v>
      </c>
    </row>
    <row r="138" spans="1:10" ht="21.75" thickBot="1">
      <c r="A138" s="77" t="s">
        <v>199</v>
      </c>
      <c r="B138" s="154">
        <f>B136*H131</f>
        <v>0</v>
      </c>
      <c r="E138" s="118" t="s">
        <v>228</v>
      </c>
      <c r="F138" s="119">
        <f>IF(AND($B$138&lt;5000,$B$141=1),1000,0)</f>
        <v>0</v>
      </c>
      <c r="G138" s="119">
        <f>IF(AND($B$138&lt;5000,$B$141=2),2000,0)</f>
        <v>0</v>
      </c>
      <c r="H138" s="119">
        <f>IF(AND($B$138&lt;5000,$B$141=3),200,0)</f>
        <v>0</v>
      </c>
      <c r="I138" s="119">
        <f>IF(AND($B$138&lt;5000,$B$141=4),1000,0)</f>
        <v>0</v>
      </c>
      <c r="J138" s="119">
        <f>IF(AND($B$138&lt;5000,$B$141=5),2000,0)</f>
        <v>0</v>
      </c>
    </row>
    <row r="140" spans="1:3" ht="18" thickBot="1">
      <c r="A140" s="580" t="s">
        <v>201</v>
      </c>
      <c r="B140" s="580"/>
      <c r="C140" s="103" t="s">
        <v>203</v>
      </c>
    </row>
    <row r="141" spans="1:8" ht="27.75" customHeight="1" thickBot="1">
      <c r="A141" s="75" t="s">
        <v>202</v>
      </c>
      <c r="B141" s="82"/>
      <c r="C141" s="120">
        <f>SUM(F137:J138)</f>
        <v>0</v>
      </c>
      <c r="E141" s="102" t="s">
        <v>198</v>
      </c>
      <c r="F141" s="121" t="s">
        <v>192</v>
      </c>
      <c r="G141" s="122" t="s">
        <v>229</v>
      </c>
      <c r="H141" s="122" t="s">
        <v>230</v>
      </c>
    </row>
    <row r="142" spans="5:8" ht="15" thickBot="1">
      <c r="E142" s="75">
        <v>1</v>
      </c>
      <c r="F142" s="123" t="s">
        <v>193</v>
      </c>
      <c r="G142" s="124">
        <v>0.2</v>
      </c>
      <c r="H142" s="125">
        <v>1000</v>
      </c>
    </row>
    <row r="143" spans="1:8" ht="36.75" customHeight="1" thickBot="1">
      <c r="A143" s="581" t="s">
        <v>204</v>
      </c>
      <c r="B143" s="582"/>
      <c r="C143" s="93">
        <f>B138-C141</f>
        <v>0</v>
      </c>
      <c r="E143" s="75">
        <v>2</v>
      </c>
      <c r="F143" s="123" t="s">
        <v>194</v>
      </c>
      <c r="G143" s="124">
        <v>0.3</v>
      </c>
      <c r="H143" s="125">
        <v>2000</v>
      </c>
    </row>
    <row r="144" spans="5:8" ht="15" thickBot="1">
      <c r="E144" s="75">
        <v>3</v>
      </c>
      <c r="F144" s="123" t="s">
        <v>195</v>
      </c>
      <c r="G144" s="124">
        <v>0.05</v>
      </c>
      <c r="H144" s="125">
        <v>200</v>
      </c>
    </row>
    <row r="145" spans="5:8" ht="29.25" thickBot="1">
      <c r="E145" s="75">
        <v>4</v>
      </c>
      <c r="F145" s="123" t="s">
        <v>196</v>
      </c>
      <c r="G145" s="124">
        <v>0.25</v>
      </c>
      <c r="H145" s="125">
        <v>1000</v>
      </c>
    </row>
    <row r="146" spans="5:8" ht="29.25" thickBot="1">
      <c r="E146" s="75">
        <v>5</v>
      </c>
      <c r="F146" s="123" t="s">
        <v>197</v>
      </c>
      <c r="G146" s="124">
        <v>0.35</v>
      </c>
      <c r="H146" s="125">
        <v>2000</v>
      </c>
    </row>
    <row r="147" spans="5:8" ht="14.25">
      <c r="E147" s="75"/>
      <c r="F147" s="126"/>
      <c r="G147" s="127"/>
      <c r="H147" s="128"/>
    </row>
    <row r="148" spans="5:8" ht="14.25">
      <c r="E148" s="75"/>
      <c r="F148" s="126"/>
      <c r="G148" s="127"/>
      <c r="H148" s="128"/>
    </row>
    <row r="149" spans="5:8" ht="14.25">
      <c r="E149" s="75"/>
      <c r="F149" s="126"/>
      <c r="G149" s="127"/>
      <c r="H149" s="128"/>
    </row>
    <row r="150" spans="2:4" ht="18">
      <c r="B150" s="94" t="s">
        <v>85</v>
      </c>
      <c r="C150" s="94"/>
      <c r="D150" s="94"/>
    </row>
    <row r="151" spans="2:4" ht="18" customHeight="1">
      <c r="B151" s="583" t="s">
        <v>207</v>
      </c>
      <c r="C151" s="584"/>
      <c r="D151" s="614"/>
    </row>
    <row r="152" spans="1:4" ht="18" customHeight="1">
      <c r="A152" s="75"/>
      <c r="B152" s="583" t="s">
        <v>208</v>
      </c>
      <c r="C152" s="584"/>
      <c r="D152" s="615"/>
    </row>
    <row r="153" spans="1:4" ht="18" customHeight="1">
      <c r="A153" s="75"/>
      <c r="B153" s="583" t="s">
        <v>205</v>
      </c>
      <c r="C153" s="584"/>
      <c r="D153" s="616"/>
    </row>
    <row r="155" ht="15" thickBot="1"/>
    <row r="156" spans="1:3" ht="23.25" thickBot="1">
      <c r="A156" s="581" t="s">
        <v>206</v>
      </c>
      <c r="B156" s="582"/>
      <c r="C156" s="93">
        <f>IF(D151=4,C143*0.5,)</f>
        <v>0</v>
      </c>
    </row>
    <row r="164" spans="1:7" ht="14.25">
      <c r="A164" s="612" t="s">
        <v>117</v>
      </c>
      <c r="B164" s="612"/>
      <c r="C164" s="612"/>
      <c r="D164" s="612"/>
      <c r="E164" s="612"/>
      <c r="F164" s="612"/>
      <c r="G164" s="129"/>
    </row>
    <row r="165" spans="1:10" ht="14.25">
      <c r="A165" s="129" t="s">
        <v>116</v>
      </c>
      <c r="B165" s="129" t="s">
        <v>118</v>
      </c>
      <c r="C165" s="129" t="s">
        <v>119</v>
      </c>
      <c r="D165" s="129" t="s">
        <v>120</v>
      </c>
      <c r="E165" s="129" t="s">
        <v>121</v>
      </c>
      <c r="F165" s="129" t="s">
        <v>109</v>
      </c>
      <c r="G165" s="129" t="s">
        <v>124</v>
      </c>
      <c r="J165" s="103" t="s">
        <v>209</v>
      </c>
    </row>
    <row r="166" spans="1:10" ht="14.25">
      <c r="A166" s="130">
        <v>1.1</v>
      </c>
      <c r="B166" s="131">
        <v>2</v>
      </c>
      <c r="C166" s="129">
        <v>1</v>
      </c>
      <c r="D166" s="129" t="s">
        <v>122</v>
      </c>
      <c r="E166" s="129">
        <v>1</v>
      </c>
      <c r="F166" s="129">
        <v>0</v>
      </c>
      <c r="G166" s="129">
        <v>0</v>
      </c>
      <c r="H166" s="103">
        <f>IF(D166=J166,1,0)</f>
        <v>1</v>
      </c>
      <c r="J166" s="103" t="s">
        <v>122</v>
      </c>
    </row>
    <row r="167" spans="1:10" ht="14.25">
      <c r="A167" s="130">
        <v>1.2</v>
      </c>
      <c r="B167" s="131">
        <v>3</v>
      </c>
      <c r="C167" s="129">
        <v>2</v>
      </c>
      <c r="D167" s="129" t="s">
        <v>123</v>
      </c>
      <c r="E167" s="129">
        <v>2</v>
      </c>
      <c r="F167" s="129"/>
      <c r="G167" s="129">
        <v>1</v>
      </c>
      <c r="J167" s="103" t="s">
        <v>123</v>
      </c>
    </row>
    <row r="168" spans="1:7" ht="14.25">
      <c r="A168" s="130">
        <v>1.3</v>
      </c>
      <c r="B168" s="131">
        <v>4</v>
      </c>
      <c r="C168" s="129">
        <v>3</v>
      </c>
      <c r="D168" s="129"/>
      <c r="E168" s="129">
        <v>3</v>
      </c>
      <c r="F168" s="129"/>
      <c r="G168" s="129"/>
    </row>
    <row r="169" spans="1:7" ht="14.25">
      <c r="A169" s="130">
        <v>1.4</v>
      </c>
      <c r="B169" s="131"/>
      <c r="C169" s="129"/>
      <c r="D169" s="129"/>
      <c r="E169" s="129">
        <v>4</v>
      </c>
      <c r="F169" s="129"/>
      <c r="G169" s="129"/>
    </row>
    <row r="170" spans="1:7" ht="14.25">
      <c r="A170" s="130">
        <v>2.1</v>
      </c>
      <c r="B170" s="129"/>
      <c r="C170" s="129"/>
      <c r="D170" s="129"/>
      <c r="E170" s="129">
        <v>5</v>
      </c>
      <c r="F170" s="129"/>
      <c r="G170" s="129"/>
    </row>
    <row r="171" spans="1:7" ht="14.25">
      <c r="A171" s="130">
        <v>2.2</v>
      </c>
      <c r="B171" s="129"/>
      <c r="C171" s="129"/>
      <c r="D171" s="129"/>
      <c r="E171" s="129"/>
      <c r="F171" s="129"/>
      <c r="G171" s="129"/>
    </row>
    <row r="172" spans="1:7" ht="14.25">
      <c r="A172" s="130">
        <v>2.3</v>
      </c>
      <c r="B172" s="129"/>
      <c r="C172" s="129"/>
      <c r="D172" s="129"/>
      <c r="E172" s="129"/>
      <c r="F172" s="129"/>
      <c r="G172" s="129"/>
    </row>
    <row r="173" spans="1:7" ht="14.25">
      <c r="A173" s="130">
        <v>2.4</v>
      </c>
      <c r="B173" s="129"/>
      <c r="C173" s="129"/>
      <c r="D173" s="129"/>
      <c r="E173" s="129"/>
      <c r="F173" s="129"/>
      <c r="G173" s="129"/>
    </row>
    <row r="174" spans="1:7" ht="14.25">
      <c r="A174" s="130">
        <v>2.5</v>
      </c>
      <c r="B174" s="129"/>
      <c r="C174" s="129"/>
      <c r="D174" s="129"/>
      <c r="E174" s="129"/>
      <c r="F174" s="129"/>
      <c r="G174" s="129"/>
    </row>
    <row r="175" spans="1:7" ht="14.25">
      <c r="A175" s="130">
        <v>2.6</v>
      </c>
      <c r="B175" s="129"/>
      <c r="C175" s="129"/>
      <c r="D175" s="129"/>
      <c r="E175" s="129"/>
      <c r="F175" s="129"/>
      <c r="G175" s="129"/>
    </row>
    <row r="176" spans="1:7" ht="14.25">
      <c r="A176" s="130">
        <v>3.1</v>
      </c>
      <c r="B176" s="129"/>
      <c r="C176" s="129"/>
      <c r="D176" s="129"/>
      <c r="E176" s="129"/>
      <c r="F176" s="129"/>
      <c r="G176" s="129"/>
    </row>
    <row r="177" spans="1:7" ht="14.25">
      <c r="A177" s="130">
        <v>3.2</v>
      </c>
      <c r="B177" s="129"/>
      <c r="C177" s="129"/>
      <c r="D177" s="129"/>
      <c r="E177" s="129"/>
      <c r="F177" s="129"/>
      <c r="G177" s="129"/>
    </row>
    <row r="178" spans="1:7" ht="14.25">
      <c r="A178" s="130">
        <v>3.3</v>
      </c>
      <c r="B178" s="129"/>
      <c r="C178" s="129"/>
      <c r="D178" s="129"/>
      <c r="E178" s="129"/>
      <c r="F178" s="129"/>
      <c r="G178" s="129"/>
    </row>
    <row r="179" spans="1:7" ht="14.25">
      <c r="A179" s="130">
        <v>3.4</v>
      </c>
      <c r="B179" s="129"/>
      <c r="C179" s="129"/>
      <c r="D179" s="129"/>
      <c r="E179" s="129"/>
      <c r="F179" s="129"/>
      <c r="G179" s="129"/>
    </row>
    <row r="180" spans="1:7" ht="14.25">
      <c r="A180" s="130">
        <v>3.5</v>
      </c>
      <c r="B180" s="129"/>
      <c r="C180" s="129"/>
      <c r="D180" s="129"/>
      <c r="E180" s="129"/>
      <c r="F180" s="129"/>
      <c r="G180" s="129"/>
    </row>
    <row r="181" spans="1:7" ht="14.25">
      <c r="A181" s="130">
        <v>4.1</v>
      </c>
      <c r="B181" s="129"/>
      <c r="C181" s="129"/>
      <c r="D181" s="129"/>
      <c r="E181" s="129"/>
      <c r="F181" s="129"/>
      <c r="G181" s="129"/>
    </row>
    <row r="182" spans="1:7" ht="14.25">
      <c r="A182" s="130">
        <v>4.2</v>
      </c>
      <c r="B182" s="129"/>
      <c r="C182" s="129"/>
      <c r="D182" s="129"/>
      <c r="E182" s="129"/>
      <c r="F182" s="129"/>
      <c r="G182" s="129"/>
    </row>
    <row r="183" spans="1:7" ht="14.25">
      <c r="A183" s="130">
        <v>4.3</v>
      </c>
      <c r="B183" s="129"/>
      <c r="C183" s="129"/>
      <c r="D183" s="129"/>
      <c r="E183" s="129"/>
      <c r="F183" s="129"/>
      <c r="G183" s="129"/>
    </row>
    <row r="184" spans="1:7" ht="14.25">
      <c r="A184" s="130">
        <v>4.4</v>
      </c>
      <c r="B184" s="129"/>
      <c r="C184" s="129"/>
      <c r="D184" s="129"/>
      <c r="E184" s="129"/>
      <c r="F184" s="129"/>
      <c r="G184" s="129"/>
    </row>
    <row r="185" spans="1:7" ht="14.25">
      <c r="A185" s="130">
        <v>4.5</v>
      </c>
      <c r="B185" s="129"/>
      <c r="C185" s="129"/>
      <c r="D185" s="129"/>
      <c r="E185" s="129"/>
      <c r="F185" s="129"/>
      <c r="G185" s="129"/>
    </row>
    <row r="186" spans="1:7" ht="14.25">
      <c r="A186" s="130">
        <v>4.6</v>
      </c>
      <c r="B186" s="129"/>
      <c r="C186" s="129"/>
      <c r="D186" s="129"/>
      <c r="E186" s="129"/>
      <c r="F186" s="129"/>
      <c r="G186" s="129"/>
    </row>
    <row r="187" spans="1:7" ht="14.25">
      <c r="A187" s="130">
        <v>5.1</v>
      </c>
      <c r="B187" s="129"/>
      <c r="C187" s="129"/>
      <c r="D187" s="129"/>
      <c r="E187" s="129"/>
      <c r="F187" s="129"/>
      <c r="G187" s="129"/>
    </row>
    <row r="188" spans="1:7" ht="14.25">
      <c r="A188" s="130">
        <v>5.2</v>
      </c>
      <c r="B188" s="129"/>
      <c r="C188" s="129"/>
      <c r="D188" s="129"/>
      <c r="E188" s="129"/>
      <c r="F188" s="129"/>
      <c r="G188" s="129"/>
    </row>
    <row r="189" spans="1:7" ht="14.25">
      <c r="A189" s="130">
        <v>5.3</v>
      </c>
      <c r="B189" s="129"/>
      <c r="C189" s="129"/>
      <c r="D189" s="129"/>
      <c r="E189" s="129"/>
      <c r="F189" s="129"/>
      <c r="G189" s="129"/>
    </row>
    <row r="190" spans="1:7" ht="14.25">
      <c r="A190" s="130">
        <v>5.4</v>
      </c>
      <c r="B190" s="129"/>
      <c r="C190" s="129"/>
      <c r="D190" s="129"/>
      <c r="E190" s="129"/>
      <c r="F190" s="129"/>
      <c r="G190" s="129"/>
    </row>
    <row r="191" spans="1:7" ht="14.25">
      <c r="A191" s="130">
        <v>6.1</v>
      </c>
      <c r="B191" s="129"/>
      <c r="C191" s="129"/>
      <c r="D191" s="129"/>
      <c r="E191" s="129"/>
      <c r="F191" s="129"/>
      <c r="G191" s="129"/>
    </row>
    <row r="192" spans="1:7" ht="14.25">
      <c r="A192" s="130">
        <v>6.2</v>
      </c>
      <c r="B192" s="129"/>
      <c r="C192" s="129"/>
      <c r="D192" s="129"/>
      <c r="E192" s="129"/>
      <c r="F192" s="129"/>
      <c r="G192" s="129"/>
    </row>
    <row r="193" spans="1:7" ht="14.25">
      <c r="A193" s="130">
        <v>6.3</v>
      </c>
      <c r="B193" s="129"/>
      <c r="C193" s="129"/>
      <c r="D193" s="129"/>
      <c r="E193" s="129"/>
      <c r="F193" s="129"/>
      <c r="G193" s="129"/>
    </row>
    <row r="194" spans="1:7" ht="14.25">
      <c r="A194" s="130">
        <v>6.4</v>
      </c>
      <c r="B194" s="129"/>
      <c r="C194" s="129"/>
      <c r="D194" s="129"/>
      <c r="E194" s="129"/>
      <c r="F194" s="129"/>
      <c r="G194" s="129"/>
    </row>
    <row r="195" spans="1:7" ht="14.25">
      <c r="A195" s="130">
        <v>6.5</v>
      </c>
      <c r="B195" s="129"/>
      <c r="C195" s="129"/>
      <c r="D195" s="129"/>
      <c r="E195" s="129"/>
      <c r="F195" s="129"/>
      <c r="G195" s="129"/>
    </row>
    <row r="196" spans="1:7" ht="14.25">
      <c r="A196" s="130">
        <v>6.6</v>
      </c>
      <c r="B196" s="129"/>
      <c r="C196" s="129"/>
      <c r="D196" s="129"/>
      <c r="E196" s="129"/>
      <c r="F196" s="129"/>
      <c r="G196" s="129"/>
    </row>
    <row r="197" spans="1:7" ht="14.25">
      <c r="A197" s="130">
        <v>6.7</v>
      </c>
      <c r="B197" s="129"/>
      <c r="C197" s="129"/>
      <c r="D197" s="129"/>
      <c r="E197" s="129"/>
      <c r="F197" s="129"/>
      <c r="G197" s="129"/>
    </row>
    <row r="198" spans="1:7" ht="14.25">
      <c r="A198" s="130">
        <v>6.8</v>
      </c>
      <c r="B198" s="129"/>
      <c r="C198" s="129"/>
      <c r="D198" s="129"/>
      <c r="E198" s="129"/>
      <c r="F198" s="129"/>
      <c r="G198" s="129"/>
    </row>
    <row r="199" spans="1:7" ht="14.25">
      <c r="A199" s="130"/>
      <c r="B199" s="129"/>
      <c r="C199" s="129"/>
      <c r="D199" s="129"/>
      <c r="E199" s="129"/>
      <c r="F199" s="129"/>
      <c r="G199" s="129"/>
    </row>
    <row r="200" ht="14.25">
      <c r="A200" s="132"/>
    </row>
    <row r="201" ht="14.25">
      <c r="A201" s="132"/>
    </row>
    <row r="202" ht="14.25">
      <c r="A202" s="132"/>
    </row>
    <row r="203" ht="14.25">
      <c r="A203" s="132"/>
    </row>
    <row r="204" ht="14.25">
      <c r="A204" s="132"/>
    </row>
    <row r="205" ht="14.25">
      <c r="A205" s="132"/>
    </row>
    <row r="206" ht="14.25">
      <c r="A206" s="132"/>
    </row>
    <row r="207" ht="14.25">
      <c r="A207" s="132"/>
    </row>
    <row r="208" ht="14.25">
      <c r="A208" s="132"/>
    </row>
    <row r="209" ht="14.25">
      <c r="A209" s="132"/>
    </row>
    <row r="210" ht="14.25">
      <c r="A210" s="132"/>
    </row>
    <row r="211" ht="14.25">
      <c r="A211" s="132"/>
    </row>
    <row r="212" ht="14.25">
      <c r="A212" s="132"/>
    </row>
    <row r="213" ht="14.25">
      <c r="A213" s="132"/>
    </row>
    <row r="214" ht="14.25">
      <c r="A214" s="132"/>
    </row>
    <row r="215" ht="14.25">
      <c r="A215" s="132"/>
    </row>
    <row r="216" ht="14.25">
      <c r="A216" s="132"/>
    </row>
    <row r="217" ht="14.25">
      <c r="A217" s="132"/>
    </row>
    <row r="218" ht="14.25">
      <c r="A218" s="132"/>
    </row>
    <row r="219" ht="14.25">
      <c r="A219" s="132"/>
    </row>
    <row r="220" ht="14.25">
      <c r="A220" s="132"/>
    </row>
    <row r="221" ht="14.25">
      <c r="A221" s="132"/>
    </row>
    <row r="222" ht="14.25">
      <c r="A222" s="132"/>
    </row>
    <row r="223" ht="14.25">
      <c r="A223" s="132"/>
    </row>
    <row r="224" ht="14.25">
      <c r="A224" s="132"/>
    </row>
    <row r="225" ht="14.25">
      <c r="A225" s="132"/>
    </row>
    <row r="226" ht="14.25">
      <c r="A226" s="132"/>
    </row>
    <row r="227" ht="14.25">
      <c r="A227" s="132"/>
    </row>
    <row r="228" ht="14.25">
      <c r="A228" s="132"/>
    </row>
    <row r="229" ht="14.25">
      <c r="A229" s="132"/>
    </row>
    <row r="230" ht="14.25">
      <c r="A230" s="132"/>
    </row>
    <row r="231" ht="14.25">
      <c r="A231" s="132"/>
    </row>
    <row r="232" ht="14.25">
      <c r="A232" s="132"/>
    </row>
    <row r="233" ht="14.25">
      <c r="A233" s="132"/>
    </row>
    <row r="234" ht="14.25">
      <c r="A234" s="132"/>
    </row>
    <row r="235" ht="14.25">
      <c r="A235" s="132"/>
    </row>
    <row r="236" ht="14.25">
      <c r="A236" s="132"/>
    </row>
    <row r="237" ht="14.25">
      <c r="A237" s="132"/>
    </row>
    <row r="238" ht="14.25">
      <c r="A238" s="132"/>
    </row>
    <row r="239" ht="14.25">
      <c r="A239" s="132"/>
    </row>
    <row r="240" ht="14.25">
      <c r="A240" s="132"/>
    </row>
    <row r="241" ht="14.25">
      <c r="A241" s="132"/>
    </row>
    <row r="242" ht="14.25">
      <c r="A242" s="132"/>
    </row>
    <row r="243" ht="14.25">
      <c r="A243" s="132"/>
    </row>
    <row r="244" ht="14.25">
      <c r="A244" s="132"/>
    </row>
    <row r="245" ht="14.25">
      <c r="A245" s="132"/>
    </row>
    <row r="246" ht="14.25">
      <c r="A246" s="132"/>
    </row>
    <row r="247" ht="14.25">
      <c r="A247" s="132"/>
    </row>
    <row r="248" ht="14.25">
      <c r="A248" s="132"/>
    </row>
    <row r="249" ht="14.25">
      <c r="A249" s="132"/>
    </row>
    <row r="250" ht="14.25">
      <c r="A250" s="132"/>
    </row>
    <row r="251" ht="14.25">
      <c r="A251" s="132"/>
    </row>
    <row r="252" ht="14.25">
      <c r="A252" s="132"/>
    </row>
    <row r="253" ht="14.25">
      <c r="A253" s="132"/>
    </row>
    <row r="254" ht="14.25">
      <c r="A254" s="132"/>
    </row>
    <row r="255" ht="14.25">
      <c r="A255" s="132"/>
    </row>
    <row r="256" ht="14.25">
      <c r="A256" s="132"/>
    </row>
    <row r="257" ht="14.25">
      <c r="A257" s="132"/>
    </row>
    <row r="258" ht="14.25">
      <c r="A258" s="132"/>
    </row>
  </sheetData>
  <sheetProtection password="CA97" sheet="1" selectLockedCells="1" selectUnlockedCells="1"/>
  <mergeCells count="67">
    <mergeCell ref="G89:G90"/>
    <mergeCell ref="A78:A79"/>
    <mergeCell ref="B43:G43"/>
    <mergeCell ref="A43:A44"/>
    <mergeCell ref="A36:C36"/>
    <mergeCell ref="A37:C37"/>
    <mergeCell ref="B45:G45"/>
    <mergeCell ref="A39:C39"/>
    <mergeCell ref="A40:C40"/>
    <mergeCell ref="A38:C38"/>
    <mergeCell ref="A106:C106"/>
    <mergeCell ref="A109:C109"/>
    <mergeCell ref="F78:F79"/>
    <mergeCell ref="G78:G79"/>
    <mergeCell ref="A63:A64"/>
    <mergeCell ref="B63:E63"/>
    <mergeCell ref="A89:A90"/>
    <mergeCell ref="B89:B90"/>
    <mergeCell ref="F89:F90"/>
    <mergeCell ref="A75:C75"/>
    <mergeCell ref="B153:C153"/>
    <mergeCell ref="A164:F164"/>
    <mergeCell ref="A130:C130"/>
    <mergeCell ref="D151:D153"/>
    <mergeCell ref="A107:C107"/>
    <mergeCell ref="A122:D122"/>
    <mergeCell ref="A123:D123"/>
    <mergeCell ref="A156:B156"/>
    <mergeCell ref="A58:C58"/>
    <mergeCell ref="A60:C60"/>
    <mergeCell ref="A59:C59"/>
    <mergeCell ref="A135:C135"/>
    <mergeCell ref="A112:E112"/>
    <mergeCell ref="A113:E113"/>
    <mergeCell ref="A121:D121"/>
    <mergeCell ref="A76:C76"/>
    <mergeCell ref="B78:B79"/>
    <mergeCell ref="B2:H3"/>
    <mergeCell ref="I120:I121"/>
    <mergeCell ref="A8:B8"/>
    <mergeCell ref="A9:B9"/>
    <mergeCell ref="A98:C98"/>
    <mergeCell ref="A104:C104"/>
    <mergeCell ref="A105:C105"/>
    <mergeCell ref="A87:G87"/>
    <mergeCell ref="A5:C5"/>
    <mergeCell ref="A108:C108"/>
    <mergeCell ref="J120:J121"/>
    <mergeCell ref="A140:B140"/>
    <mergeCell ref="A143:B143"/>
    <mergeCell ref="B152:C152"/>
    <mergeCell ref="B151:C151"/>
    <mergeCell ref="A55:C55"/>
    <mergeCell ref="A56:C56"/>
    <mergeCell ref="A57:C57"/>
    <mergeCell ref="A114:E114"/>
    <mergeCell ref="A119:C119"/>
    <mergeCell ref="A6:B6"/>
    <mergeCell ref="A7:B7"/>
    <mergeCell ref="A13:C13"/>
    <mergeCell ref="I122:I123"/>
    <mergeCell ref="A28:G28"/>
    <mergeCell ref="A29:G29"/>
    <mergeCell ref="A30:G30"/>
    <mergeCell ref="A27:G27"/>
    <mergeCell ref="H28:H30"/>
    <mergeCell ref="A111:E111"/>
  </mergeCells>
  <dataValidations count="7">
    <dataValidation type="list" allowBlank="1" showInputMessage="1" showErrorMessage="1" sqref="H130">
      <formula1>codIPPC</formula1>
    </dataValidation>
    <dataValidation type="list" allowBlank="1" showInputMessage="1" showErrorMessage="1" sqref="H28">
      <formula1>TipoIMP</formula1>
    </dataValidation>
    <dataValidation type="list" allowBlank="1" showInputMessage="1" showErrorMessage="1" sqref="D98 E106:E109">
      <formula1>$J$166:$J$167</formula1>
    </dataValidation>
    <dataValidation type="list" allowBlank="1" showInputMessage="1" showErrorMessage="1" sqref="G112">
      <formula1>$E$166:$E$168</formula1>
    </dataValidation>
    <dataValidation type="list" allowBlank="1" showInputMessage="1" showErrorMessage="1" sqref="I122">
      <formula1>Domanda</formula1>
    </dataValidation>
    <dataValidation type="list" allowBlank="1" showInputMessage="1" showErrorMessage="1" sqref="D151:D153">
      <formula1>$B$166:$B$168</formula1>
    </dataValidation>
    <dataValidation type="list" allowBlank="1" showInputMessage="1" showErrorMessage="1" sqref="B141">
      <formula1>$E$142:$E$146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view="pageBreakPreview" zoomScale="75" zoomScaleNormal="90" zoomScaleSheetLayoutView="75" workbookViewId="0" topLeftCell="A28">
      <selection activeCell="A35" sqref="A35"/>
    </sheetView>
  </sheetViews>
  <sheetFormatPr defaultColWidth="8.796875" defaultRowHeight="14.25"/>
  <cols>
    <col min="1" max="1" width="22.5" style="36" customWidth="1"/>
    <col min="2" max="2" width="19.09765625" style="36" customWidth="1"/>
    <col min="3" max="3" width="34" style="36" customWidth="1"/>
    <col min="4" max="4" width="14.8984375" style="36" customWidth="1"/>
    <col min="5" max="5" width="15.69921875" style="36" customWidth="1"/>
    <col min="6" max="6" width="23.296875" style="36" customWidth="1"/>
    <col min="7" max="7" width="22" style="36" customWidth="1"/>
    <col min="8" max="8" width="15.59765625" style="36" customWidth="1"/>
    <col min="9" max="16384" width="8.796875" style="36" customWidth="1"/>
  </cols>
  <sheetData>
    <row r="1" spans="1:8" ht="46.5" customHeight="1">
      <c r="A1" s="39"/>
      <c r="B1" s="670" t="s">
        <v>163</v>
      </c>
      <c r="C1" s="670"/>
      <c r="D1" s="670"/>
      <c r="E1" s="670"/>
      <c r="F1" s="670"/>
      <c r="G1" s="670"/>
      <c r="H1" s="37"/>
    </row>
    <row r="2" spans="1:8" ht="25.5" customHeight="1">
      <c r="A2" s="38"/>
      <c r="B2" s="37"/>
      <c r="C2" s="37"/>
      <c r="D2" s="37"/>
      <c r="E2" s="37"/>
      <c r="F2" s="37"/>
      <c r="G2" s="37"/>
      <c r="H2" s="37"/>
    </row>
    <row r="3" ht="15.75" customHeight="1" thickBot="1"/>
    <row r="4" spans="1:8" ht="18.75" thickBot="1">
      <c r="A4" s="625" t="s">
        <v>112</v>
      </c>
      <c r="B4" s="626"/>
      <c r="C4" s="627"/>
      <c r="E4" s="630" t="s">
        <v>85</v>
      </c>
      <c r="F4" s="631"/>
      <c r="G4" s="631"/>
      <c r="H4" s="632"/>
    </row>
    <row r="5" spans="1:8" ht="26.25" customHeight="1">
      <c r="A5" s="628" t="s">
        <v>81</v>
      </c>
      <c r="B5" s="629"/>
      <c r="C5" s="40">
        <f>COMPILAZIONE!C6</f>
        <v>0</v>
      </c>
      <c r="E5" s="160">
        <v>2</v>
      </c>
      <c r="F5" s="640" t="s">
        <v>95</v>
      </c>
      <c r="G5" s="640"/>
      <c r="H5" s="681">
        <f>COMPILAZIONE!D156</f>
        <v>0</v>
      </c>
    </row>
    <row r="6" spans="1:8" ht="15" customHeight="1">
      <c r="A6" s="633" t="s">
        <v>99</v>
      </c>
      <c r="B6" s="634"/>
      <c r="C6" s="158">
        <f>COMPILAZIONE!C7</f>
        <v>0</v>
      </c>
      <c r="E6" s="41">
        <v>3</v>
      </c>
      <c r="F6" s="140" t="s">
        <v>86</v>
      </c>
      <c r="G6" s="140"/>
      <c r="H6" s="682"/>
    </row>
    <row r="7" spans="1:8" ht="15" customHeight="1" thickBot="1">
      <c r="A7" s="633" t="s">
        <v>82</v>
      </c>
      <c r="B7" s="634"/>
      <c r="C7" s="158">
        <f>COMPILAZIONE!C8</f>
        <v>0</v>
      </c>
      <c r="E7" s="42">
        <v>4</v>
      </c>
      <c r="F7" s="598" t="s">
        <v>87</v>
      </c>
      <c r="G7" s="598"/>
      <c r="H7" s="683"/>
    </row>
    <row r="8" spans="1:3" ht="15" customHeight="1">
      <c r="A8" s="633" t="s">
        <v>251</v>
      </c>
      <c r="B8" s="634"/>
      <c r="C8" s="158">
        <f>COMPILAZIONE!C9</f>
        <v>0</v>
      </c>
    </row>
    <row r="9" spans="1:3" ht="18.75" thickBot="1">
      <c r="A9" s="650" t="s">
        <v>84</v>
      </c>
      <c r="B9" s="651"/>
      <c r="C9" s="159">
        <f>COMPILAZIONE!C10</f>
        <v>0</v>
      </c>
    </row>
    <row r="10" spans="1:2" ht="18">
      <c r="A10" s="685"/>
      <c r="B10" s="685"/>
    </row>
    <row r="11" spans="1:4" ht="18.75" thickBot="1">
      <c r="A11" s="43"/>
      <c r="B11" s="44"/>
      <c r="C11" s="44"/>
      <c r="D11" s="45"/>
    </row>
    <row r="12" spans="1:3" ht="21" thickBot="1">
      <c r="A12" s="635" t="s">
        <v>3</v>
      </c>
      <c r="B12" s="652"/>
      <c r="C12" s="636"/>
    </row>
    <row r="13" spans="1:8" ht="18">
      <c r="A13" s="657" t="s">
        <v>2</v>
      </c>
      <c r="B13" s="658"/>
      <c r="C13" s="658"/>
      <c r="D13" s="658"/>
      <c r="E13" s="658"/>
      <c r="F13" s="686"/>
      <c r="G13" s="46" t="s">
        <v>65</v>
      </c>
      <c r="H13" s="47"/>
    </row>
    <row r="14" spans="1:13" ht="15" customHeight="1">
      <c r="A14" s="641" t="s">
        <v>74</v>
      </c>
      <c r="B14" s="642"/>
      <c r="C14" s="642"/>
      <c r="D14" s="642"/>
      <c r="E14" s="642"/>
      <c r="F14" s="643"/>
      <c r="G14" s="644">
        <f>COMPILAZIONE!G29</f>
        <v>0</v>
      </c>
      <c r="H14" s="48"/>
      <c r="I14" s="49"/>
      <c r="J14" s="49"/>
      <c r="K14" s="38"/>
      <c r="L14" s="38"/>
      <c r="M14" s="38"/>
    </row>
    <row r="15" spans="1:10" ht="18">
      <c r="A15" s="641" t="s">
        <v>5</v>
      </c>
      <c r="B15" s="642"/>
      <c r="C15" s="642"/>
      <c r="D15" s="642"/>
      <c r="E15" s="642"/>
      <c r="F15" s="643"/>
      <c r="G15" s="645"/>
      <c r="H15" s="48"/>
      <c r="I15" s="49"/>
      <c r="J15" s="49"/>
    </row>
    <row r="16" spans="1:8" ht="18.75" thickBot="1">
      <c r="A16" s="647" t="s">
        <v>4</v>
      </c>
      <c r="B16" s="648"/>
      <c r="C16" s="648"/>
      <c r="D16" s="648"/>
      <c r="E16" s="648"/>
      <c r="F16" s="649"/>
      <c r="G16" s="646"/>
      <c r="H16" s="48"/>
    </row>
    <row r="18" spans="6:8" ht="21" thickBot="1">
      <c r="F18" s="50" t="s">
        <v>148</v>
      </c>
      <c r="G18" s="34">
        <f>COMPILAZIONE!G32</f>
        <v>0</v>
      </c>
      <c r="H18" s="51"/>
    </row>
    <row r="19" spans="1:3" ht="20.25">
      <c r="A19" s="625" t="s">
        <v>7</v>
      </c>
      <c r="B19" s="626"/>
      <c r="C19" s="627"/>
    </row>
    <row r="20" spans="1:7" ht="18">
      <c r="A20" s="684" t="s">
        <v>252</v>
      </c>
      <c r="B20" s="684"/>
      <c r="C20" s="684"/>
      <c r="D20" s="162" t="s">
        <v>169</v>
      </c>
      <c r="E20" s="163" t="s">
        <v>165</v>
      </c>
      <c r="F20" s="73"/>
      <c r="G20" s="74"/>
    </row>
    <row r="21" spans="1:7" ht="18">
      <c r="A21" s="140" t="s">
        <v>164</v>
      </c>
      <c r="B21" s="140"/>
      <c r="C21" s="140"/>
      <c r="D21" s="162">
        <f>COMPILAZIONE!D39</f>
        <v>0</v>
      </c>
      <c r="E21" s="162">
        <f>COMPILAZIONE!E39</f>
        <v>0</v>
      </c>
      <c r="F21" s="73"/>
      <c r="G21" s="74"/>
    </row>
    <row r="22" spans="1:7" ht="18">
      <c r="A22" s="140" t="s">
        <v>170</v>
      </c>
      <c r="B22" s="140"/>
      <c r="C22" s="140"/>
      <c r="D22" s="162">
        <f>COMPILAZIONE!D40</f>
        <v>0</v>
      </c>
      <c r="E22" s="162">
        <f>COMPILAZIONE!E40</f>
        <v>0</v>
      </c>
      <c r="F22" s="73"/>
      <c r="G22" s="74"/>
    </row>
    <row r="23" spans="1:7" ht="18">
      <c r="A23" s="140" t="s">
        <v>168</v>
      </c>
      <c r="B23" s="140"/>
      <c r="C23" s="140"/>
      <c r="D23" s="162">
        <f>COMPILAZIONE!D41</f>
        <v>0</v>
      </c>
      <c r="E23" s="162">
        <f>COMPILAZIONE!E41</f>
        <v>0</v>
      </c>
      <c r="F23" s="73"/>
      <c r="G23" s="74"/>
    </row>
    <row r="24" spans="1:7" ht="18">
      <c r="A24" s="140" t="s">
        <v>166</v>
      </c>
      <c r="B24" s="140"/>
      <c r="C24" s="140"/>
      <c r="D24" s="162">
        <f>COMPILAZIONE!D42</f>
        <v>0</v>
      </c>
      <c r="E24" s="162">
        <f>COMPILAZIONE!E42</f>
        <v>0</v>
      </c>
      <c r="F24" s="73"/>
      <c r="G24" s="74"/>
    </row>
    <row r="25" spans="1:7" ht="21">
      <c r="A25" s="140" t="s">
        <v>167</v>
      </c>
      <c r="B25" s="140"/>
      <c r="C25" s="140"/>
      <c r="D25" s="162">
        <f>COMPILAZIONE!D43</f>
        <v>0</v>
      </c>
      <c r="E25" s="162">
        <f>COMPILAZIONE!E43</f>
        <v>0</v>
      </c>
      <c r="F25" s="161" t="s">
        <v>254</v>
      </c>
      <c r="G25" s="34">
        <f>COMPILAZIONE!E44</f>
        <v>0</v>
      </c>
    </row>
    <row r="26" ht="18.75" thickBot="1"/>
    <row r="27" spans="1:3" ht="20.25">
      <c r="A27" s="625" t="s">
        <v>23</v>
      </c>
      <c r="B27" s="626"/>
      <c r="C27" s="627"/>
    </row>
    <row r="28" spans="1:5" ht="18">
      <c r="A28" s="684" t="s">
        <v>253</v>
      </c>
      <c r="B28" s="684"/>
      <c r="C28" s="684"/>
      <c r="D28" s="162" t="s">
        <v>171</v>
      </c>
      <c r="E28" s="163" t="s">
        <v>165</v>
      </c>
    </row>
    <row r="29" spans="1:5" ht="18">
      <c r="A29" s="140" t="s">
        <v>239</v>
      </c>
      <c r="B29" s="140"/>
      <c r="C29" s="140"/>
      <c r="D29" s="162">
        <f>COMPILAZIONE!D58</f>
        <v>0</v>
      </c>
      <c r="E29" s="162">
        <f>COMPILAZIONE!E58</f>
        <v>0</v>
      </c>
    </row>
    <row r="30" spans="1:5" ht="18">
      <c r="A30" s="140" t="s">
        <v>240</v>
      </c>
      <c r="B30" s="140"/>
      <c r="C30" s="140"/>
      <c r="D30" s="162">
        <f>COMPILAZIONE!D59</f>
        <v>0</v>
      </c>
      <c r="E30" s="162">
        <f>COMPILAZIONE!E59</f>
        <v>0</v>
      </c>
    </row>
    <row r="31" spans="1:5" ht="18">
      <c r="A31" s="140" t="s">
        <v>241</v>
      </c>
      <c r="B31" s="140"/>
      <c r="C31" s="140"/>
      <c r="D31" s="162">
        <f>COMPILAZIONE!D60</f>
        <v>0</v>
      </c>
      <c r="E31" s="162">
        <f>COMPILAZIONE!E60</f>
        <v>0</v>
      </c>
    </row>
    <row r="32" spans="1:5" ht="18">
      <c r="A32" s="140" t="s">
        <v>242</v>
      </c>
      <c r="B32" s="140"/>
      <c r="C32" s="140"/>
      <c r="D32" s="162">
        <f>COMPILAZIONE!D61</f>
        <v>0</v>
      </c>
      <c r="E32" s="162">
        <f>COMPILAZIONE!E61</f>
        <v>0</v>
      </c>
    </row>
    <row r="33" spans="1:5" ht="18">
      <c r="A33" s="140" t="s">
        <v>243</v>
      </c>
      <c r="B33" s="140"/>
      <c r="C33" s="140"/>
      <c r="D33" s="162">
        <f>COMPILAZIONE!D62</f>
        <v>0</v>
      </c>
      <c r="E33" s="162">
        <f>COMPILAZIONE!E62</f>
        <v>0</v>
      </c>
    </row>
    <row r="34" spans="1:7" ht="21">
      <c r="A34" s="140" t="s">
        <v>237</v>
      </c>
      <c r="B34" s="140"/>
      <c r="C34" s="140"/>
      <c r="D34" s="162">
        <f>COMPILAZIONE!D63</f>
        <v>0</v>
      </c>
      <c r="E34" s="162">
        <f>COMPILAZIONE!E63</f>
        <v>0</v>
      </c>
      <c r="F34" s="161" t="s">
        <v>255</v>
      </c>
      <c r="G34" s="34">
        <f>COMPILAZIONE!E64</f>
        <v>0</v>
      </c>
    </row>
    <row r="35" spans="1:3" ht="18">
      <c r="A35" s="107"/>
      <c r="B35" s="107"/>
      <c r="C35" s="107"/>
    </row>
    <row r="36" ht="18.75" thickBot="1"/>
    <row r="37" spans="1:3" ht="21" thickBot="1">
      <c r="A37" s="625" t="s">
        <v>33</v>
      </c>
      <c r="B37" s="626"/>
      <c r="C37" s="627"/>
    </row>
    <row r="38" spans="1:7" ht="21" thickBot="1">
      <c r="A38" s="653" t="s">
        <v>34</v>
      </c>
      <c r="B38" s="640"/>
      <c r="C38" s="640"/>
      <c r="D38" s="52">
        <f>COMPILAZIONE!D78</f>
        <v>0</v>
      </c>
      <c r="F38" s="164" t="s">
        <v>149</v>
      </c>
      <c r="G38" s="165">
        <f>COMPILAZIONE!H85</f>
        <v>0</v>
      </c>
    </row>
    <row r="39" spans="1:7" ht="21" thickBot="1">
      <c r="A39" s="597" t="s">
        <v>35</v>
      </c>
      <c r="B39" s="598"/>
      <c r="C39" s="598"/>
      <c r="D39" s="52">
        <f>COMPILAZIONE!D79</f>
        <v>0</v>
      </c>
      <c r="F39" s="166" t="s">
        <v>150</v>
      </c>
      <c r="G39" s="167">
        <f>COMPILAZIONE!H86</f>
        <v>0</v>
      </c>
    </row>
    <row r="40" spans="1:7" ht="21" thickBot="1">
      <c r="A40" s="653" t="s">
        <v>256</v>
      </c>
      <c r="B40" s="640"/>
      <c r="C40" s="640"/>
      <c r="D40" s="52">
        <f>COMPILAZIONE!E78</f>
        <v>0</v>
      </c>
      <c r="F40" s="166" t="s">
        <v>258</v>
      </c>
      <c r="G40" s="167">
        <f>COMPILAZIONE!H96</f>
        <v>0</v>
      </c>
    </row>
    <row r="41" spans="1:7" ht="21" thickBot="1">
      <c r="A41" s="597" t="s">
        <v>257</v>
      </c>
      <c r="B41" s="598"/>
      <c r="C41" s="598"/>
      <c r="D41" s="52">
        <f>COMPILAZIONE!E79</f>
        <v>0</v>
      </c>
      <c r="F41" s="166" t="s">
        <v>259</v>
      </c>
      <c r="G41" s="167">
        <f>COMPILAZIONE!H97</f>
        <v>0</v>
      </c>
    </row>
    <row r="42" spans="1:7" ht="23.25" customHeight="1" thickBot="1">
      <c r="A42" s="679" t="s">
        <v>36</v>
      </c>
      <c r="B42" s="680"/>
      <c r="C42" s="680"/>
      <c r="D42" s="58">
        <f>COMPILAZIONE!D103</f>
        <v>0</v>
      </c>
      <c r="F42" s="166" t="s">
        <v>52</v>
      </c>
      <c r="G42" s="167">
        <f>COMPILAZIONE!E103</f>
        <v>0</v>
      </c>
    </row>
    <row r="43" spans="6:7" ht="21.75" thickBot="1">
      <c r="F43" s="168" t="s">
        <v>260</v>
      </c>
      <c r="G43" s="169">
        <f>COMPILAZIONE!E105</f>
        <v>0</v>
      </c>
    </row>
    <row r="44" ht="18.75" thickBot="1"/>
    <row r="45" spans="1:3" ht="18.75" thickBot="1">
      <c r="A45" s="635" t="s">
        <v>53</v>
      </c>
      <c r="B45" s="652"/>
      <c r="C45" s="636"/>
    </row>
    <row r="46" spans="1:5" ht="18">
      <c r="A46" s="657" t="s">
        <v>54</v>
      </c>
      <c r="B46" s="658"/>
      <c r="C46" s="658"/>
      <c r="D46" s="658"/>
      <c r="E46" s="659"/>
    </row>
    <row r="47" spans="1:7" ht="17.25" customHeight="1">
      <c r="A47" s="654" t="s">
        <v>55</v>
      </c>
      <c r="B47" s="655"/>
      <c r="C47" s="655"/>
      <c r="D47" s="656"/>
      <c r="E47" s="53" t="s">
        <v>157</v>
      </c>
      <c r="F47" s="54" t="s">
        <v>151</v>
      </c>
      <c r="G47" s="1">
        <f>COMPILAZIONE!F110</f>
        <v>0</v>
      </c>
    </row>
    <row r="48" spans="1:7" ht="20.25">
      <c r="A48" s="654" t="s">
        <v>56</v>
      </c>
      <c r="B48" s="655"/>
      <c r="C48" s="655"/>
      <c r="D48" s="656"/>
      <c r="E48" s="55" t="str">
        <f>COMPILAZIONE!E111</f>
        <v>NO</v>
      </c>
      <c r="F48" s="54" t="s">
        <v>152</v>
      </c>
      <c r="G48" s="1">
        <f>COMPILAZIONE!F111</f>
        <v>0</v>
      </c>
    </row>
    <row r="49" spans="1:7" ht="20.25">
      <c r="A49" s="654" t="s">
        <v>57</v>
      </c>
      <c r="B49" s="655"/>
      <c r="C49" s="655"/>
      <c r="D49" s="656"/>
      <c r="E49" s="55" t="str">
        <f>COMPILAZIONE!E112</f>
        <v>NO</v>
      </c>
      <c r="F49" s="54" t="s">
        <v>153</v>
      </c>
      <c r="G49" s="1">
        <f>COMPILAZIONE!F112</f>
        <v>0</v>
      </c>
    </row>
    <row r="50" spans="1:7" ht="20.25">
      <c r="A50" s="654" t="s">
        <v>58</v>
      </c>
      <c r="B50" s="655"/>
      <c r="C50" s="655"/>
      <c r="D50" s="656"/>
      <c r="E50" s="55" t="str">
        <f>COMPILAZIONE!E113</f>
        <v>NO</v>
      </c>
      <c r="F50" s="54" t="s">
        <v>154</v>
      </c>
      <c r="G50" s="1">
        <f>COMPILAZIONE!F113</f>
        <v>0</v>
      </c>
    </row>
    <row r="51" spans="1:7" ht="21" thickBot="1">
      <c r="A51" s="662" t="s">
        <v>59</v>
      </c>
      <c r="B51" s="663"/>
      <c r="C51" s="663"/>
      <c r="D51" s="664"/>
      <c r="E51" s="55" t="str">
        <f>COMPILAZIONE!E114</f>
        <v>NO</v>
      </c>
      <c r="F51" s="54" t="s">
        <v>155</v>
      </c>
      <c r="G51" s="1">
        <f>COMPILAZIONE!F114</f>
        <v>0</v>
      </c>
    </row>
    <row r="52" spans="6:7" ht="18">
      <c r="F52" s="39"/>
      <c r="G52" s="39"/>
    </row>
    <row r="53" spans="6:7" ht="18">
      <c r="F53" s="56" t="s">
        <v>67</v>
      </c>
      <c r="G53" s="34">
        <f>COMPILAZIONE!F115</f>
        <v>0</v>
      </c>
    </row>
    <row r="54" ht="18.75" thickBot="1"/>
    <row r="55" spans="1:6" ht="18.75" thickBot="1">
      <c r="A55" s="668" t="s">
        <v>55</v>
      </c>
      <c r="B55" s="669"/>
      <c r="C55" s="669"/>
      <c r="D55" s="669"/>
      <c r="E55" s="669"/>
      <c r="F55" s="170" t="s">
        <v>108</v>
      </c>
    </row>
    <row r="56" spans="1:6" ht="34.5" customHeight="1">
      <c r="A56" s="674" t="s">
        <v>249</v>
      </c>
      <c r="B56" s="675"/>
      <c r="C56" s="675"/>
      <c r="D56" s="675"/>
      <c r="E56" s="676"/>
      <c r="F56" s="671">
        <f>COMPILAZIONE!G118</f>
        <v>0</v>
      </c>
    </row>
    <row r="57" spans="1:6" ht="34.5" customHeight="1">
      <c r="A57" s="633" t="s">
        <v>183</v>
      </c>
      <c r="B57" s="634"/>
      <c r="C57" s="634"/>
      <c r="D57" s="634"/>
      <c r="E57" s="677"/>
      <c r="F57" s="672"/>
    </row>
    <row r="58" spans="1:6" ht="18.75" customHeight="1" thickBot="1">
      <c r="A58" s="650" t="s">
        <v>184</v>
      </c>
      <c r="B58" s="651"/>
      <c r="C58" s="651"/>
      <c r="D58" s="651"/>
      <c r="E58" s="678"/>
      <c r="F58" s="673"/>
    </row>
    <row r="61" ht="18.75" thickBot="1"/>
    <row r="62" spans="1:3" ht="18.75" thickBot="1">
      <c r="A62" s="635" t="s">
        <v>73</v>
      </c>
      <c r="B62" s="652"/>
      <c r="C62" s="636"/>
    </row>
    <row r="63" ht="18.75" thickBot="1"/>
    <row r="64" spans="1:7" ht="20.25">
      <c r="A64" s="665" t="s">
        <v>107</v>
      </c>
      <c r="B64" s="666"/>
      <c r="C64" s="666"/>
      <c r="D64" s="666"/>
      <c r="E64" s="667"/>
      <c r="F64" s="56" t="s">
        <v>156</v>
      </c>
      <c r="G64" s="34">
        <f>COMPILAZIONE!F131</f>
        <v>0</v>
      </c>
    </row>
    <row r="65" spans="1:5" ht="18">
      <c r="A65" s="654" t="s">
        <v>75</v>
      </c>
      <c r="B65" s="655"/>
      <c r="C65" s="655"/>
      <c r="D65" s="656"/>
      <c r="E65" s="660">
        <f>COMPILAZIONE!F128</f>
        <v>0</v>
      </c>
    </row>
    <row r="66" spans="1:5" ht="18.75" thickBot="1">
      <c r="A66" s="662" t="s">
        <v>261</v>
      </c>
      <c r="B66" s="663"/>
      <c r="C66" s="663"/>
      <c r="D66" s="664"/>
      <c r="E66" s="661"/>
    </row>
    <row r="67" ht="18.75" thickBot="1"/>
    <row r="68" spans="1:3" ht="18.75" thickBot="1">
      <c r="A68" s="635" t="s">
        <v>80</v>
      </c>
      <c r="B68" s="652"/>
      <c r="C68" s="636"/>
    </row>
    <row r="69" spans="1:2" ht="18">
      <c r="A69" s="57" t="s">
        <v>88</v>
      </c>
      <c r="B69" s="35">
        <f>COMPILAZIONE!H137</f>
        <v>0.7</v>
      </c>
    </row>
    <row r="70" spans="1:2" ht="18.75" thickBot="1">
      <c r="A70" s="171"/>
      <c r="B70" s="172"/>
    </row>
    <row r="71" spans="1:3" ht="18.75" thickBot="1">
      <c r="A71" s="635" t="s">
        <v>69</v>
      </c>
      <c r="B71" s="652"/>
      <c r="C71" s="636"/>
    </row>
    <row r="72" ht="18.75" thickBot="1"/>
    <row r="73" spans="1:3" ht="18">
      <c r="A73" s="173">
        <v>1</v>
      </c>
      <c r="B73" s="174" t="s">
        <v>193</v>
      </c>
      <c r="C73" s="637">
        <f>COMPILAZIONE!B146</f>
        <v>0</v>
      </c>
    </row>
    <row r="74" spans="1:3" ht="18">
      <c r="A74" s="175">
        <v>2</v>
      </c>
      <c r="B74" s="176" t="s">
        <v>194</v>
      </c>
      <c r="C74" s="638"/>
    </row>
    <row r="75" spans="1:3" ht="18">
      <c r="A75" s="175">
        <v>3</v>
      </c>
      <c r="B75" s="176" t="s">
        <v>195</v>
      </c>
      <c r="C75" s="638"/>
    </row>
    <row r="76" spans="1:3" ht="19.5" customHeight="1">
      <c r="A76" s="175">
        <v>4</v>
      </c>
      <c r="B76" s="176" t="s">
        <v>196</v>
      </c>
      <c r="C76" s="638"/>
    </row>
    <row r="77" spans="1:7" ht="21" thickBot="1">
      <c r="A77" s="177">
        <v>5</v>
      </c>
      <c r="B77" s="178" t="s">
        <v>197</v>
      </c>
      <c r="C77" s="639"/>
      <c r="F77" s="56" t="s">
        <v>262</v>
      </c>
      <c r="G77" s="34">
        <f>COMPILAZIONE!C146</f>
        <v>0</v>
      </c>
    </row>
    <row r="79" ht="18.75" thickBot="1">
      <c r="E79" s="38"/>
    </row>
    <row r="80" spans="1:7" ht="18" customHeight="1" thickBot="1">
      <c r="A80" s="635" t="s">
        <v>266</v>
      </c>
      <c r="B80" s="636"/>
      <c r="C80" s="138"/>
      <c r="D80" s="138"/>
      <c r="E80" s="138"/>
      <c r="F80" s="138"/>
      <c r="G80" s="72"/>
    </row>
    <row r="81" spans="1:7" ht="18" customHeight="1" thickBot="1">
      <c r="A81" s="179" t="s">
        <v>265</v>
      </c>
      <c r="B81" s="180">
        <f>COMPILAZIONE!C161</f>
        <v>0</v>
      </c>
      <c r="C81" s="139"/>
      <c r="D81" s="139"/>
      <c r="E81" s="139"/>
      <c r="F81" s="157"/>
      <c r="G81" s="72"/>
    </row>
    <row r="82" spans="3:7" ht="18.75" thickBot="1">
      <c r="C82" s="72"/>
      <c r="D82" s="72"/>
      <c r="E82" s="72"/>
      <c r="F82" s="73"/>
      <c r="G82" s="74"/>
    </row>
    <row r="83" spans="1:2" ht="18.75" thickBot="1">
      <c r="A83" s="181" t="s">
        <v>267</v>
      </c>
      <c r="B83" s="182">
        <f>COMPILAZIONE!C165</f>
        <v>0</v>
      </c>
    </row>
    <row r="84" spans="1:2" ht="18.75" thickBot="1">
      <c r="A84" s="179" t="s">
        <v>264</v>
      </c>
      <c r="B84" s="180">
        <f>COMPILAZIONE!C167</f>
        <v>0</v>
      </c>
    </row>
  </sheetData>
  <sheetProtection password="CA97" sheet="1" selectLockedCells="1"/>
  <mergeCells count="49">
    <mergeCell ref="H5:H7"/>
    <mergeCell ref="A27:C27"/>
    <mergeCell ref="A20:C20"/>
    <mergeCell ref="A28:C28"/>
    <mergeCell ref="A40:C40"/>
    <mergeCell ref="A41:C41"/>
    <mergeCell ref="A10:B10"/>
    <mergeCell ref="A13:F13"/>
    <mergeCell ref="A19:C19"/>
    <mergeCell ref="A12:C12"/>
    <mergeCell ref="B1:G1"/>
    <mergeCell ref="A66:D66"/>
    <mergeCell ref="A62:C62"/>
    <mergeCell ref="A68:C68"/>
    <mergeCell ref="F56:F58"/>
    <mergeCell ref="A56:E56"/>
    <mergeCell ref="A57:E57"/>
    <mergeCell ref="A58:E58"/>
    <mergeCell ref="A42:C42"/>
    <mergeCell ref="A49:D49"/>
    <mergeCell ref="A45:C45"/>
    <mergeCell ref="A46:E46"/>
    <mergeCell ref="E65:E66"/>
    <mergeCell ref="A50:D50"/>
    <mergeCell ref="A51:D51"/>
    <mergeCell ref="A64:E64"/>
    <mergeCell ref="A55:E55"/>
    <mergeCell ref="A47:D47"/>
    <mergeCell ref="A48:D48"/>
    <mergeCell ref="A15:F15"/>
    <mergeCell ref="A16:F16"/>
    <mergeCell ref="A9:B9"/>
    <mergeCell ref="F7:G7"/>
    <mergeCell ref="A8:B8"/>
    <mergeCell ref="A71:C71"/>
    <mergeCell ref="A37:C37"/>
    <mergeCell ref="A38:C38"/>
    <mergeCell ref="A65:D65"/>
    <mergeCell ref="A39:C39"/>
    <mergeCell ref="A4:C4"/>
    <mergeCell ref="A5:B5"/>
    <mergeCell ref="E4:H4"/>
    <mergeCell ref="A6:B6"/>
    <mergeCell ref="A80:B80"/>
    <mergeCell ref="C73:C77"/>
    <mergeCell ref="F5:G5"/>
    <mergeCell ref="A7:B7"/>
    <mergeCell ref="A14:F14"/>
    <mergeCell ref="G14:G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  <headerFooter>
    <oddHeader>&amp;RTARIFFA ISTRUTTORIA  ESIST - NUOVO - MOD SOST
</oddHeader>
    <oddFooter>&amp;CPagina &amp;P</oddFooter>
  </headerFooter>
  <rowBreaks count="1" manualBreakCount="1">
    <brk id="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:G108"/>
  <sheetViews>
    <sheetView zoomScalePageLayoutView="0" workbookViewId="0" topLeftCell="A83">
      <selection activeCell="F110" sqref="F110"/>
    </sheetView>
  </sheetViews>
  <sheetFormatPr defaultColWidth="8.796875" defaultRowHeight="14.25"/>
  <cols>
    <col min="1" max="1" width="22.3984375" style="0" customWidth="1"/>
    <col min="3" max="3" width="30.5" style="0" customWidth="1"/>
    <col min="4" max="4" width="15.59765625" style="0" customWidth="1"/>
    <col min="5" max="5" width="18.796875" style="0" customWidth="1"/>
    <col min="6" max="6" width="14.69921875" style="0" customWidth="1"/>
    <col min="7" max="7" width="15.59765625" style="0" customWidth="1"/>
  </cols>
  <sheetData>
    <row r="5" spans="1:7" ht="24">
      <c r="A5" s="105" t="s">
        <v>213</v>
      </c>
      <c r="B5" s="103"/>
      <c r="C5" s="103"/>
      <c r="D5" s="103"/>
      <c r="E5" s="103"/>
      <c r="F5" s="103"/>
      <c r="G5" s="103"/>
    </row>
    <row r="6" spans="1:7" ht="15" thickBot="1">
      <c r="A6" s="103"/>
      <c r="B6" s="103"/>
      <c r="C6" s="103"/>
      <c r="D6" s="103" t="s">
        <v>169</v>
      </c>
      <c r="E6" s="75" t="s">
        <v>165</v>
      </c>
      <c r="F6" s="103"/>
      <c r="G6" s="103"/>
    </row>
    <row r="7" spans="1:7" ht="15" thickBot="1">
      <c r="A7" s="585" t="s">
        <v>164</v>
      </c>
      <c r="B7" s="586"/>
      <c r="C7" s="586"/>
      <c r="D7" s="86">
        <f>COMPILAZIONE!D39</f>
        <v>0</v>
      </c>
      <c r="E7" s="84">
        <f>SUM(B26)</f>
        <v>0</v>
      </c>
      <c r="F7" s="103"/>
      <c r="G7" s="103"/>
    </row>
    <row r="8" spans="1:7" ht="15" thickBot="1">
      <c r="A8" s="585" t="s">
        <v>170</v>
      </c>
      <c r="B8" s="586"/>
      <c r="C8" s="586"/>
      <c r="D8" s="86">
        <f>COMPILAZIONE!D40</f>
        <v>0</v>
      </c>
      <c r="E8" s="85">
        <f>SUM(B27:G27)</f>
        <v>0</v>
      </c>
      <c r="F8" s="103"/>
      <c r="G8" s="103"/>
    </row>
    <row r="9" spans="1:7" ht="15" thickBot="1">
      <c r="A9" s="585" t="s">
        <v>168</v>
      </c>
      <c r="B9" s="586"/>
      <c r="C9" s="586"/>
      <c r="D9" s="86">
        <f>COMPILAZIONE!D41</f>
        <v>0</v>
      </c>
      <c r="E9" s="85">
        <f>SUM(B28:G28)</f>
        <v>0</v>
      </c>
      <c r="F9" s="103"/>
      <c r="G9" s="103"/>
    </row>
    <row r="10" spans="1:7" ht="15" thickBot="1">
      <c r="A10" s="585" t="s">
        <v>166</v>
      </c>
      <c r="B10" s="586"/>
      <c r="C10" s="586"/>
      <c r="D10" s="86">
        <f>COMPILAZIONE!D42</f>
        <v>0</v>
      </c>
      <c r="E10" s="85">
        <f>SUM(B29:G29)</f>
        <v>0</v>
      </c>
      <c r="F10" s="103"/>
      <c r="G10" s="103"/>
    </row>
    <row r="11" spans="1:7" ht="15" thickBot="1">
      <c r="A11" s="585" t="s">
        <v>167</v>
      </c>
      <c r="B11" s="586"/>
      <c r="C11" s="586"/>
      <c r="D11" s="86">
        <f>COMPILAZIONE!D43</f>
        <v>0</v>
      </c>
      <c r="E11" s="85">
        <f>SUM(B30:G30)</f>
        <v>0</v>
      </c>
      <c r="F11" s="103"/>
      <c r="G11" s="103"/>
    </row>
    <row r="12" spans="1:7" ht="21.75" thickBot="1">
      <c r="A12" s="107"/>
      <c r="B12" s="107"/>
      <c r="C12" s="107"/>
      <c r="D12" s="87" t="s">
        <v>214</v>
      </c>
      <c r="E12" s="87">
        <f>SUM(E7:E11)</f>
        <v>0</v>
      </c>
      <c r="F12" s="103"/>
      <c r="G12" s="103"/>
    </row>
    <row r="13" spans="1:7" ht="14.25">
      <c r="A13" s="103"/>
      <c r="B13" s="103"/>
      <c r="C13" s="103"/>
      <c r="D13" s="103"/>
      <c r="E13" s="103"/>
      <c r="F13" s="103"/>
      <c r="G13" s="103"/>
    </row>
    <row r="14" spans="1:7" ht="15">
      <c r="A14" s="688" t="s">
        <v>21</v>
      </c>
      <c r="B14" s="690" t="s">
        <v>20</v>
      </c>
      <c r="C14" s="690"/>
      <c r="D14" s="690"/>
      <c r="E14" s="690"/>
      <c r="F14" s="690"/>
      <c r="G14" s="690"/>
    </row>
    <row r="15" spans="1:7" ht="15">
      <c r="A15" s="689"/>
      <c r="B15" s="97">
        <v>1</v>
      </c>
      <c r="C15" s="97" t="s">
        <v>15</v>
      </c>
      <c r="D15" s="97" t="s">
        <v>16</v>
      </c>
      <c r="E15" s="97" t="s">
        <v>17</v>
      </c>
      <c r="F15" s="97" t="s">
        <v>18</v>
      </c>
      <c r="G15" s="97" t="s">
        <v>19</v>
      </c>
    </row>
    <row r="16" spans="1:7" ht="22.5" customHeight="1">
      <c r="A16" s="98" t="s">
        <v>14</v>
      </c>
      <c r="B16" s="691">
        <v>200</v>
      </c>
      <c r="C16" s="691"/>
      <c r="D16" s="691"/>
      <c r="E16" s="691"/>
      <c r="F16" s="691"/>
      <c r="G16" s="691"/>
    </row>
    <row r="17" spans="1:7" ht="16.5" customHeight="1">
      <c r="A17" s="98" t="s">
        <v>10</v>
      </c>
      <c r="B17" s="78">
        <v>800</v>
      </c>
      <c r="C17" s="78">
        <v>1250</v>
      </c>
      <c r="D17" s="78">
        <v>2000</v>
      </c>
      <c r="E17" s="78">
        <v>3000</v>
      </c>
      <c r="F17" s="78">
        <v>4500</v>
      </c>
      <c r="G17" s="78">
        <v>12000</v>
      </c>
    </row>
    <row r="18" spans="1:7" ht="20.25" customHeight="1">
      <c r="A18" s="98" t="s">
        <v>11</v>
      </c>
      <c r="B18" s="78">
        <v>1500</v>
      </c>
      <c r="C18" s="78">
        <v>2500</v>
      </c>
      <c r="D18" s="78">
        <v>4000</v>
      </c>
      <c r="E18" s="78">
        <v>5000</v>
      </c>
      <c r="F18" s="78">
        <v>7000</v>
      </c>
      <c r="G18" s="78">
        <v>20000</v>
      </c>
    </row>
    <row r="19" spans="1:7" ht="18.75" customHeight="1">
      <c r="A19" s="98" t="s">
        <v>12</v>
      </c>
      <c r="B19" s="78">
        <v>3000</v>
      </c>
      <c r="C19" s="78">
        <v>7500</v>
      </c>
      <c r="D19" s="78">
        <v>12000</v>
      </c>
      <c r="E19" s="78">
        <v>16500</v>
      </c>
      <c r="F19" s="78">
        <v>20000</v>
      </c>
      <c r="G19" s="78">
        <v>33000</v>
      </c>
    </row>
    <row r="20" spans="1:7" ht="17.25" customHeight="1">
      <c r="A20" s="98" t="s">
        <v>13</v>
      </c>
      <c r="B20" s="78">
        <v>3500</v>
      </c>
      <c r="C20" s="78">
        <v>8000</v>
      </c>
      <c r="D20" s="78">
        <v>16000</v>
      </c>
      <c r="E20" s="78">
        <v>30000</v>
      </c>
      <c r="F20" s="78">
        <v>34000</v>
      </c>
      <c r="G20" s="78">
        <v>49000</v>
      </c>
    </row>
    <row r="21" spans="1:7" ht="14.25">
      <c r="A21" s="103"/>
      <c r="B21" s="103"/>
      <c r="C21" s="103"/>
      <c r="D21" s="83" t="s">
        <v>186</v>
      </c>
      <c r="E21" s="103"/>
      <c r="F21" s="103"/>
      <c r="G21" s="103"/>
    </row>
    <row r="24" spans="1:7" ht="15">
      <c r="A24" s="688" t="s">
        <v>21</v>
      </c>
      <c r="B24" s="690" t="s">
        <v>20</v>
      </c>
      <c r="C24" s="690"/>
      <c r="D24" s="690"/>
      <c r="E24" s="690"/>
      <c r="F24" s="690"/>
      <c r="G24" s="690"/>
    </row>
    <row r="25" spans="1:7" ht="15">
      <c r="A25" s="689"/>
      <c r="B25" s="97">
        <v>1</v>
      </c>
      <c r="C25" s="97" t="s">
        <v>15</v>
      </c>
      <c r="D25" s="97" t="s">
        <v>16</v>
      </c>
      <c r="E25" s="97" t="s">
        <v>17</v>
      </c>
      <c r="F25" s="97" t="s">
        <v>18</v>
      </c>
      <c r="G25" s="97" t="s">
        <v>19</v>
      </c>
    </row>
    <row r="26" spans="1:7" ht="15">
      <c r="A26" s="98" t="s">
        <v>14</v>
      </c>
      <c r="B26" s="691">
        <f>IF(D7&gt;0,200,0)</f>
        <v>0</v>
      </c>
      <c r="C26" s="691"/>
      <c r="D26" s="691"/>
      <c r="E26" s="691"/>
      <c r="F26" s="691"/>
      <c r="G26" s="691"/>
    </row>
    <row r="27" spans="1:7" ht="15">
      <c r="A27" s="98" t="s">
        <v>10</v>
      </c>
      <c r="B27" s="78">
        <f>IF($D$8=1,800,0)</f>
        <v>0</v>
      </c>
      <c r="C27" s="78">
        <f>IF(AND($D$8&gt;1,$D$8&lt;4),1250,0)</f>
        <v>0</v>
      </c>
      <c r="D27" s="78">
        <f>IF(AND($D$8&gt;3,$D$8&lt;9),2000,0)</f>
        <v>0</v>
      </c>
      <c r="E27" s="78">
        <f>IF(AND($D$8&gt;8,$D$8&lt;21),3000,0)</f>
        <v>0</v>
      </c>
      <c r="F27" s="78">
        <f>IF(AND($D$8&gt;20,$D$8&lt;61),4500,0)</f>
        <v>0</v>
      </c>
      <c r="G27" s="78">
        <f>IF($D$8&gt;60,12000,0)</f>
        <v>0</v>
      </c>
    </row>
    <row r="28" spans="1:7" ht="15">
      <c r="A28" s="98" t="s">
        <v>11</v>
      </c>
      <c r="B28" s="78">
        <f>IF($D9=1,1500,0)</f>
        <v>0</v>
      </c>
      <c r="C28" s="78">
        <f>IF(AND($D9&gt;1,$D9&lt;4),2500,0)</f>
        <v>0</v>
      </c>
      <c r="D28" s="78">
        <f>IF(AND($D9&gt;3,$D9&lt;9),4000,0)</f>
        <v>0</v>
      </c>
      <c r="E28" s="78">
        <f>IF(AND($D9&gt;8,$D9&lt;21),5000,0)</f>
        <v>0</v>
      </c>
      <c r="F28" s="78">
        <f>IF(AND($D9&gt;20,$D9&lt;61),7000,0)</f>
        <v>0</v>
      </c>
      <c r="G28" s="78">
        <f>IF($D9&gt;60,20000,0)</f>
        <v>0</v>
      </c>
    </row>
    <row r="29" spans="1:7" ht="15">
      <c r="A29" s="98" t="s">
        <v>12</v>
      </c>
      <c r="B29" s="78">
        <f>IF($D10=1,$B19,0)</f>
        <v>0</v>
      </c>
      <c r="C29" s="78">
        <f>IF(AND($D10&gt;1,$D10&lt;4),$C19,0)</f>
        <v>0</v>
      </c>
      <c r="D29" s="78">
        <f>IF(AND($D10&gt;3,$D10&lt;9),$D19,0)</f>
        <v>0</v>
      </c>
      <c r="E29" s="78">
        <f>IF(AND($D10&gt;8,$D10&lt;21),$E19,0)</f>
        <v>0</v>
      </c>
      <c r="F29" s="78">
        <f>IF(AND($D10&gt;20,$D10&lt;61),$F19,0)</f>
        <v>0</v>
      </c>
      <c r="G29" s="78">
        <f>IF($D10&gt;60,$G19,0)</f>
        <v>0</v>
      </c>
    </row>
    <row r="30" spans="1:7" ht="15">
      <c r="A30" s="98" t="s">
        <v>13</v>
      </c>
      <c r="B30" s="78">
        <f>IF($D11=1,$B20,0)</f>
        <v>0</v>
      </c>
      <c r="C30" s="78">
        <f>IF(AND($D11&gt;1,$D11&lt;4),$C20,0)</f>
        <v>0</v>
      </c>
      <c r="D30" s="78">
        <f>IF(AND($D11&gt;3,$D11&lt;9),$D20,0)</f>
        <v>0</v>
      </c>
      <c r="E30" s="78">
        <f>IF(AND($D11&gt;8,$D11&lt;21),$E20,0)</f>
        <v>0</v>
      </c>
      <c r="F30" s="78">
        <f>IF(AND($D11&gt;20,$D11&lt;61),$F20,0)</f>
        <v>0</v>
      </c>
      <c r="G30" s="78">
        <f>IF($D11&gt;60,$G20,0)</f>
        <v>0</v>
      </c>
    </row>
    <row r="34" spans="1:5" ht="24">
      <c r="A34" s="105" t="s">
        <v>215</v>
      </c>
      <c r="B34" s="103"/>
      <c r="C34" s="103"/>
      <c r="D34" s="103"/>
      <c r="E34" s="103"/>
    </row>
    <row r="35" spans="1:5" ht="18.75" thickBot="1">
      <c r="A35" s="60"/>
      <c r="B35" s="103"/>
      <c r="C35" s="103"/>
      <c r="D35" s="103" t="s">
        <v>171</v>
      </c>
      <c r="E35" s="75" t="s">
        <v>165</v>
      </c>
    </row>
    <row r="36" spans="1:5" ht="15" thickBot="1">
      <c r="A36" s="585" t="s">
        <v>232</v>
      </c>
      <c r="B36" s="586"/>
      <c r="C36" s="586"/>
      <c r="D36" s="108">
        <f>'Calcoli Foglio1'!D55</f>
        <v>0</v>
      </c>
      <c r="E36" s="109">
        <f aca="true" t="shared" si="0" ref="E36:E41">SUM(B55:E55)</f>
        <v>0</v>
      </c>
    </row>
    <row r="37" spans="1:5" ht="15" thickBot="1">
      <c r="A37" s="585" t="s">
        <v>233</v>
      </c>
      <c r="B37" s="586"/>
      <c r="C37" s="586"/>
      <c r="D37" s="108">
        <f>'Calcoli Foglio1'!D56</f>
        <v>0</v>
      </c>
      <c r="E37" s="109">
        <f t="shared" si="0"/>
        <v>0</v>
      </c>
    </row>
    <row r="38" spans="1:5" ht="15" thickBot="1">
      <c r="A38" s="585" t="s">
        <v>234</v>
      </c>
      <c r="B38" s="586"/>
      <c r="C38" s="586"/>
      <c r="D38" s="108">
        <f>'Calcoli Foglio1'!D57</f>
        <v>0</v>
      </c>
      <c r="E38" s="109">
        <f t="shared" si="0"/>
        <v>0</v>
      </c>
    </row>
    <row r="39" spans="1:5" ht="15" thickBot="1">
      <c r="A39" s="585" t="s">
        <v>235</v>
      </c>
      <c r="B39" s="586"/>
      <c r="C39" s="586"/>
      <c r="D39" s="108">
        <f>'Calcoli Foglio1'!D58</f>
        <v>0</v>
      </c>
      <c r="E39" s="109">
        <f t="shared" si="0"/>
        <v>0</v>
      </c>
    </row>
    <row r="40" spans="1:5" ht="15" thickBot="1">
      <c r="A40" s="585" t="s">
        <v>236</v>
      </c>
      <c r="B40" s="586"/>
      <c r="C40" s="586"/>
      <c r="D40" s="108">
        <f>'Calcoli Foglio1'!D59</f>
        <v>0</v>
      </c>
      <c r="E40" s="109">
        <f t="shared" si="0"/>
        <v>0</v>
      </c>
    </row>
    <row r="41" spans="1:5" ht="15" thickBot="1">
      <c r="A41" s="585" t="s">
        <v>237</v>
      </c>
      <c r="B41" s="586"/>
      <c r="C41" s="586"/>
      <c r="D41" s="108">
        <f>'Calcoli Foglio1'!D60</f>
        <v>0</v>
      </c>
      <c r="E41" s="109">
        <f t="shared" si="0"/>
        <v>0</v>
      </c>
    </row>
    <row r="42" spans="1:5" ht="21.75" thickBot="1">
      <c r="A42" s="107"/>
      <c r="B42" s="107"/>
      <c r="C42" s="107"/>
      <c r="D42" s="87" t="s">
        <v>216</v>
      </c>
      <c r="E42" s="87">
        <f>SUM(E36:E41)</f>
        <v>0</v>
      </c>
    </row>
    <row r="43" spans="1:5" ht="14.25">
      <c r="A43" s="107"/>
      <c r="B43" s="107"/>
      <c r="C43" s="107"/>
      <c r="D43" s="103"/>
      <c r="E43" s="103"/>
    </row>
    <row r="44" spans="1:5" ht="14.25">
      <c r="A44" s="687" t="s">
        <v>21</v>
      </c>
      <c r="B44" s="619" t="s">
        <v>26</v>
      </c>
      <c r="C44" s="619"/>
      <c r="D44" s="619"/>
      <c r="E44" s="619"/>
    </row>
    <row r="45" spans="1:5" ht="14.25">
      <c r="A45" s="687"/>
      <c r="B45" s="100">
        <v>1</v>
      </c>
      <c r="C45" s="100" t="s">
        <v>15</v>
      </c>
      <c r="D45" s="100" t="s">
        <v>16</v>
      </c>
      <c r="E45" s="100" t="s">
        <v>27</v>
      </c>
    </row>
    <row r="46" spans="1:5" ht="15">
      <c r="A46" s="76" t="s">
        <v>28</v>
      </c>
      <c r="B46" s="78">
        <v>50</v>
      </c>
      <c r="C46" s="78">
        <v>100</v>
      </c>
      <c r="D46" s="78">
        <v>100</v>
      </c>
      <c r="E46" s="78">
        <v>400</v>
      </c>
    </row>
    <row r="47" spans="1:5" ht="15">
      <c r="A47" s="76" t="s">
        <v>10</v>
      </c>
      <c r="B47" s="78">
        <v>950</v>
      </c>
      <c r="C47" s="78">
        <v>1500</v>
      </c>
      <c r="D47" s="78">
        <v>2000</v>
      </c>
      <c r="E47" s="78">
        <v>5000</v>
      </c>
    </row>
    <row r="48" spans="1:5" ht="15">
      <c r="A48" s="76" t="s">
        <v>29</v>
      </c>
      <c r="B48" s="78">
        <v>1750</v>
      </c>
      <c r="C48" s="78">
        <v>2800</v>
      </c>
      <c r="D48" s="78">
        <v>4200</v>
      </c>
      <c r="E48" s="78">
        <v>8000</v>
      </c>
    </row>
    <row r="49" spans="1:5" ht="15">
      <c r="A49" s="76" t="s">
        <v>30</v>
      </c>
      <c r="B49" s="78">
        <v>2300</v>
      </c>
      <c r="C49" s="78">
        <v>3800</v>
      </c>
      <c r="D49" s="78">
        <v>5800</v>
      </c>
      <c r="E49" s="78">
        <v>10000</v>
      </c>
    </row>
    <row r="50" spans="1:5" ht="15">
      <c r="A50" s="76" t="s">
        <v>31</v>
      </c>
      <c r="B50" s="78">
        <v>3500</v>
      </c>
      <c r="C50" s="78">
        <v>7500</v>
      </c>
      <c r="D50" s="78">
        <v>15000</v>
      </c>
      <c r="E50" s="78">
        <v>29000</v>
      </c>
    </row>
    <row r="51" spans="1:5" ht="15">
      <c r="A51" s="76" t="s">
        <v>32</v>
      </c>
      <c r="B51" s="78">
        <v>4500</v>
      </c>
      <c r="C51" s="78">
        <v>10000</v>
      </c>
      <c r="D51" s="78">
        <v>20000</v>
      </c>
      <c r="E51" s="78">
        <v>30000</v>
      </c>
    </row>
    <row r="53" spans="1:5" ht="14.25">
      <c r="A53" s="687" t="s">
        <v>21</v>
      </c>
      <c r="B53" s="619" t="s">
        <v>26</v>
      </c>
      <c r="C53" s="619"/>
      <c r="D53" s="619"/>
      <c r="E53" s="619"/>
    </row>
    <row r="54" spans="1:5" ht="14.25">
      <c r="A54" s="687"/>
      <c r="B54" s="100">
        <v>1</v>
      </c>
      <c r="C54" s="100" t="s">
        <v>15</v>
      </c>
      <c r="D54" s="100" t="s">
        <v>16</v>
      </c>
      <c r="E54" s="100" t="s">
        <v>27</v>
      </c>
    </row>
    <row r="55" spans="1:5" ht="15">
      <c r="A55" s="76" t="s">
        <v>28</v>
      </c>
      <c r="B55" s="78">
        <f aca="true" t="shared" si="1" ref="B55:B60">IF($D36=1,$B46,0)</f>
        <v>0</v>
      </c>
      <c r="C55" s="78">
        <f aca="true" t="shared" si="2" ref="C55:C60">IF(AND($D36&gt;1,$D36&lt;4),$C46,0)</f>
        <v>0</v>
      </c>
      <c r="D55" s="78">
        <f aca="true" t="shared" si="3" ref="D55:D60">IF(AND($D36&gt;3,$D36&lt;9),$D46,0)</f>
        <v>0</v>
      </c>
      <c r="E55" s="78">
        <f aca="true" t="shared" si="4" ref="E55:E60">IF($D36&gt;8,$E46,0)</f>
        <v>0</v>
      </c>
    </row>
    <row r="56" spans="1:5" ht="15">
      <c r="A56" s="76" t="s">
        <v>10</v>
      </c>
      <c r="B56" s="78">
        <f t="shared" si="1"/>
        <v>0</v>
      </c>
      <c r="C56" s="78">
        <f t="shared" si="2"/>
        <v>0</v>
      </c>
      <c r="D56" s="78">
        <f t="shared" si="3"/>
        <v>0</v>
      </c>
      <c r="E56" s="78">
        <f t="shared" si="4"/>
        <v>0</v>
      </c>
    </row>
    <row r="57" spans="1:5" ht="15">
      <c r="A57" s="76" t="s">
        <v>29</v>
      </c>
      <c r="B57" s="78">
        <f t="shared" si="1"/>
        <v>0</v>
      </c>
      <c r="C57" s="78">
        <f t="shared" si="2"/>
        <v>0</v>
      </c>
      <c r="D57" s="78">
        <f t="shared" si="3"/>
        <v>0</v>
      </c>
      <c r="E57" s="78">
        <f t="shared" si="4"/>
        <v>0</v>
      </c>
    </row>
    <row r="58" spans="1:5" ht="15">
      <c r="A58" s="76" t="s">
        <v>30</v>
      </c>
      <c r="B58" s="78">
        <f t="shared" si="1"/>
        <v>0</v>
      </c>
      <c r="C58" s="78">
        <f t="shared" si="2"/>
        <v>0</v>
      </c>
      <c r="D58" s="78">
        <f t="shared" si="3"/>
        <v>0</v>
      </c>
      <c r="E58" s="78">
        <f t="shared" si="4"/>
        <v>0</v>
      </c>
    </row>
    <row r="59" spans="1:5" ht="15">
      <c r="A59" s="76" t="s">
        <v>31</v>
      </c>
      <c r="B59" s="78">
        <f t="shared" si="1"/>
        <v>0</v>
      </c>
      <c r="C59" s="78">
        <f t="shared" si="2"/>
        <v>0</v>
      </c>
      <c r="D59" s="78">
        <f t="shared" si="3"/>
        <v>0</v>
      </c>
      <c r="E59" s="78">
        <f t="shared" si="4"/>
        <v>0</v>
      </c>
    </row>
    <row r="60" spans="1:5" ht="15">
      <c r="A60" s="76" t="s">
        <v>32</v>
      </c>
      <c r="B60" s="78">
        <f t="shared" si="1"/>
        <v>0</v>
      </c>
      <c r="C60" s="78">
        <f t="shared" si="2"/>
        <v>0</v>
      </c>
      <c r="D60" s="78">
        <f t="shared" si="3"/>
        <v>0</v>
      </c>
      <c r="E60" s="78">
        <f t="shared" si="4"/>
        <v>0</v>
      </c>
    </row>
    <row r="62" ht="15" thickBot="1"/>
    <row r="63" spans="1:7" ht="24">
      <c r="A63" s="105" t="s">
        <v>217</v>
      </c>
      <c r="B63" s="96"/>
      <c r="C63" s="103"/>
      <c r="D63" s="103"/>
      <c r="E63" s="79" t="s">
        <v>210</v>
      </c>
      <c r="F63" s="103"/>
      <c r="G63" s="103"/>
    </row>
    <row r="64" spans="1:7" ht="14.25">
      <c r="A64" s="103"/>
      <c r="B64" s="103"/>
      <c r="C64" s="103"/>
      <c r="D64" s="103" t="s">
        <v>179</v>
      </c>
      <c r="E64" s="111" t="s">
        <v>180</v>
      </c>
      <c r="F64" s="103"/>
      <c r="G64" s="103"/>
    </row>
    <row r="65" spans="1:7" ht="14.25">
      <c r="A65" s="599" t="s">
        <v>34</v>
      </c>
      <c r="B65" s="599"/>
      <c r="C65" s="599"/>
      <c r="D65" s="112">
        <f>'Calcoli Foglio1'!D75</f>
        <v>0</v>
      </c>
      <c r="E65" s="150">
        <f>'Calcoli Foglio1'!E75</f>
        <v>0</v>
      </c>
      <c r="F65" s="103"/>
      <c r="G65" s="103"/>
    </row>
    <row r="66" spans="1:7" ht="14.25">
      <c r="A66" s="599" t="s">
        <v>35</v>
      </c>
      <c r="B66" s="599"/>
      <c r="C66" s="599"/>
      <c r="D66" s="112">
        <f>'Calcoli Foglio1'!D76</f>
        <v>0</v>
      </c>
      <c r="E66" s="150">
        <f>'Calcoli Foglio1'!E76</f>
        <v>0</v>
      </c>
      <c r="F66" s="103"/>
      <c r="G66" s="103"/>
    </row>
    <row r="67" spans="1:7" ht="15" thickBot="1">
      <c r="A67" s="103"/>
      <c r="B67" s="103"/>
      <c r="C67" s="103"/>
      <c r="D67" s="103"/>
      <c r="E67" s="103"/>
      <c r="F67" s="103"/>
      <c r="G67" s="103"/>
    </row>
    <row r="68" spans="1:7" ht="14.25">
      <c r="A68" s="610" t="s">
        <v>37</v>
      </c>
      <c r="B68" s="610">
        <v>0</v>
      </c>
      <c r="C68" s="80" t="s">
        <v>38</v>
      </c>
      <c r="D68" s="80" t="s">
        <v>40</v>
      </c>
      <c r="E68" s="80" t="s">
        <v>42</v>
      </c>
      <c r="F68" s="610" t="s">
        <v>44</v>
      </c>
      <c r="G68" s="610" t="s">
        <v>45</v>
      </c>
    </row>
    <row r="69" spans="1:7" ht="15" thickBot="1">
      <c r="A69" s="611"/>
      <c r="B69" s="611"/>
      <c r="C69" s="81" t="s">
        <v>39</v>
      </c>
      <c r="D69" s="81" t="s">
        <v>41</v>
      </c>
      <c r="E69" s="81" t="s">
        <v>43</v>
      </c>
      <c r="F69" s="611"/>
      <c r="G69" s="611"/>
    </row>
    <row r="70" spans="1:7" ht="18" thickBot="1">
      <c r="A70" s="65" t="s">
        <v>46</v>
      </c>
      <c r="B70" s="64">
        <v>0</v>
      </c>
      <c r="C70" s="64">
        <v>500</v>
      </c>
      <c r="D70" s="64">
        <v>1000</v>
      </c>
      <c r="E70" s="64">
        <v>2200</v>
      </c>
      <c r="F70" s="64">
        <v>3200</v>
      </c>
      <c r="G70" s="66" t="s">
        <v>218</v>
      </c>
    </row>
    <row r="71" spans="1:7" ht="18" thickBot="1">
      <c r="A71" s="65" t="s">
        <v>47</v>
      </c>
      <c r="B71" s="64">
        <v>0</v>
      </c>
      <c r="C71" s="64">
        <v>0</v>
      </c>
      <c r="D71" s="64">
        <v>500</v>
      </c>
      <c r="E71" s="64">
        <v>1200</v>
      </c>
      <c r="F71" s="64">
        <v>1800</v>
      </c>
      <c r="G71" s="66" t="s">
        <v>219</v>
      </c>
    </row>
    <row r="72" spans="1:7" ht="14.25">
      <c r="A72" s="103"/>
      <c r="B72" s="103"/>
      <c r="C72" s="103"/>
      <c r="D72" s="103"/>
      <c r="E72" s="103"/>
      <c r="F72" s="103"/>
      <c r="G72" s="103"/>
    </row>
    <row r="73" spans="1:7" ht="14.25">
      <c r="A73" s="63" t="s">
        <v>48</v>
      </c>
      <c r="B73" s="63">
        <f>IF($D$75=0,0,0)</f>
        <v>0</v>
      </c>
      <c r="C73" s="63">
        <f>IF(AND($D$75&gt;0,$D$75&lt;=1),500,0)</f>
        <v>0</v>
      </c>
      <c r="D73" s="63">
        <f>IF(AND($D$75&gt;1,$D$75&lt;=10),1000,0)</f>
        <v>0</v>
      </c>
      <c r="E73" s="63">
        <f>IF(AND($D$75&gt;10,$D$75&lt;=50),2200,0)</f>
        <v>0</v>
      </c>
      <c r="F73" s="63">
        <f>IF($D$75&gt;50,3200,0)</f>
        <v>0</v>
      </c>
      <c r="G73" s="62">
        <f>SUM(B73:F73)</f>
        <v>0</v>
      </c>
    </row>
    <row r="74" spans="1:7" ht="14.25">
      <c r="A74" s="63" t="s">
        <v>49</v>
      </c>
      <c r="B74" s="63">
        <f>IF($D$76=0,0,0)</f>
        <v>0</v>
      </c>
      <c r="C74" s="63">
        <f>IF(AND($D$76&gt;0,$D$76&lt;=1),0,0)</f>
        <v>0</v>
      </c>
      <c r="D74" s="63">
        <f>IF(AND($D$76&gt;1,$D$76&lt;=10),500,0)</f>
        <v>0</v>
      </c>
      <c r="E74" s="63">
        <f>IF(AND($D$76&gt;10,$D$76&lt;=50),1200,0)</f>
        <v>0</v>
      </c>
      <c r="F74" s="63">
        <f>IF($D$76&gt;50,1800,0)</f>
        <v>0</v>
      </c>
      <c r="G74" s="62">
        <f>SUM(B74:F74)</f>
        <v>0</v>
      </c>
    </row>
    <row r="75" ht="15" thickBot="1"/>
    <row r="76" spans="1:7" ht="15" thickBot="1">
      <c r="A76" s="601" t="s">
        <v>181</v>
      </c>
      <c r="B76" s="602"/>
      <c r="C76" s="602"/>
      <c r="D76" s="602"/>
      <c r="E76" s="602"/>
      <c r="F76" s="602"/>
      <c r="G76" s="603"/>
    </row>
    <row r="77" spans="1:7" ht="15" thickBot="1">
      <c r="A77" s="103"/>
      <c r="B77" s="103"/>
      <c r="C77" s="103"/>
      <c r="D77" s="103"/>
      <c r="E77" s="103"/>
      <c r="F77" s="103"/>
      <c r="G77" s="103"/>
    </row>
    <row r="78" spans="1:7" ht="14.25">
      <c r="A78" s="620" t="s">
        <v>172</v>
      </c>
      <c r="B78" s="620">
        <v>0</v>
      </c>
      <c r="C78" s="133" t="s">
        <v>38</v>
      </c>
      <c r="D78" s="133" t="s">
        <v>174</v>
      </c>
      <c r="E78" s="133" t="s">
        <v>176</v>
      </c>
      <c r="F78" s="620" t="s">
        <v>178</v>
      </c>
      <c r="G78" s="620" t="s">
        <v>45</v>
      </c>
    </row>
    <row r="79" spans="1:7" ht="15" thickBot="1">
      <c r="A79" s="621"/>
      <c r="B79" s="621"/>
      <c r="C79" s="134" t="s">
        <v>173</v>
      </c>
      <c r="D79" s="134" t="s">
        <v>175</v>
      </c>
      <c r="E79" s="134" t="s">
        <v>177</v>
      </c>
      <c r="F79" s="621"/>
      <c r="G79" s="621"/>
    </row>
    <row r="80" spans="1:7" ht="18" thickBot="1">
      <c r="A80" s="135" t="s">
        <v>46</v>
      </c>
      <c r="B80" s="136">
        <v>0</v>
      </c>
      <c r="C80" s="136">
        <v>1200</v>
      </c>
      <c r="D80" s="136">
        <v>2400</v>
      </c>
      <c r="E80" s="136">
        <v>3600</v>
      </c>
      <c r="F80" s="136">
        <v>4800</v>
      </c>
      <c r="G80" s="137" t="s">
        <v>218</v>
      </c>
    </row>
    <row r="81" spans="1:7" ht="18" thickBot="1">
      <c r="A81" s="135" t="s">
        <v>47</v>
      </c>
      <c r="B81" s="136">
        <v>0</v>
      </c>
      <c r="C81" s="136">
        <v>1000</v>
      </c>
      <c r="D81" s="136">
        <v>2000</v>
      </c>
      <c r="E81" s="136">
        <v>3000</v>
      </c>
      <c r="F81" s="136">
        <v>4000</v>
      </c>
      <c r="G81" s="137" t="s">
        <v>219</v>
      </c>
    </row>
    <row r="82" spans="1:7" ht="14.25">
      <c r="A82" s="103"/>
      <c r="B82" s="103"/>
      <c r="C82" s="103"/>
      <c r="D82" s="103"/>
      <c r="E82" s="103"/>
      <c r="F82" s="103"/>
      <c r="G82" s="103"/>
    </row>
    <row r="83" spans="1:7" ht="14.25">
      <c r="A83" s="63" t="s">
        <v>48</v>
      </c>
      <c r="B83" s="63">
        <f>IF($E$75=0,0,0)</f>
        <v>0</v>
      </c>
      <c r="C83" s="63">
        <f>IF(AND($E$75&gt;0,$E$75&lt;=400000),1200,0)</f>
        <v>0</v>
      </c>
      <c r="D83" s="63">
        <f>IF(AND($E$75&gt;400000,$E$75&lt;=800000),2400,0)</f>
        <v>0</v>
      </c>
      <c r="E83" s="63">
        <f>IF(AND($E$75&gt;800000,$E$75&lt;=1600000),3600,0)</f>
        <v>0</v>
      </c>
      <c r="F83" s="63">
        <f>IF($E$75&gt;1600000,4800,0)</f>
        <v>0</v>
      </c>
      <c r="G83" s="62">
        <f>SUM(B83:F83)</f>
        <v>0</v>
      </c>
    </row>
    <row r="84" spans="1:7" ht="14.25">
      <c r="A84" s="63" t="s">
        <v>49</v>
      </c>
      <c r="B84" s="63">
        <f>IF($E$76=0,0,0)</f>
        <v>0</v>
      </c>
      <c r="C84" s="63">
        <f>IF(AND($E$76&gt;0,$E$76&lt;=400000),1200,0)</f>
        <v>0</v>
      </c>
      <c r="D84" s="63">
        <f>IF(AND($E$76&gt;400000,$E$76&lt;=800000),2400,0)</f>
        <v>0</v>
      </c>
      <c r="E84" s="63">
        <f>IF(AND($E$76&gt;800000,$E$76&lt;=1600000),3600,0)</f>
        <v>0</v>
      </c>
      <c r="F84" s="63">
        <f>IF($E$76&gt;1600000,4800,0)</f>
        <v>0</v>
      </c>
      <c r="G84" s="62">
        <f>SUM(B84:F84)</f>
        <v>0</v>
      </c>
    </row>
    <row r="85" spans="1:7" ht="14.25">
      <c r="A85" s="103"/>
      <c r="B85" s="103"/>
      <c r="C85" s="103"/>
      <c r="D85" s="103"/>
      <c r="E85" s="103"/>
      <c r="F85" s="103"/>
      <c r="G85" s="103"/>
    </row>
    <row r="86" spans="1:7" ht="15" thickBot="1">
      <c r="A86" s="103"/>
      <c r="B86" s="103"/>
      <c r="C86" s="103"/>
      <c r="D86" s="103"/>
      <c r="E86" s="103" t="s">
        <v>50</v>
      </c>
      <c r="F86" s="103" t="s">
        <v>51</v>
      </c>
      <c r="G86" s="103"/>
    </row>
    <row r="87" spans="1:7" ht="15" thickBot="1">
      <c r="A87" s="599" t="s">
        <v>36</v>
      </c>
      <c r="B87" s="599"/>
      <c r="C87" s="585"/>
      <c r="D87" s="113"/>
      <c r="E87" s="114">
        <f>IF(D87=H95,1,0)</f>
        <v>1</v>
      </c>
      <c r="F87" s="61">
        <f>IF(E87=0,0,300)</f>
        <v>300</v>
      </c>
      <c r="G87" s="103"/>
    </row>
    <row r="88" spans="1:7" ht="15" thickBot="1">
      <c r="A88" s="103"/>
      <c r="B88" s="103"/>
      <c r="C88" s="103"/>
      <c r="D88" s="103"/>
      <c r="E88" s="114"/>
      <c r="F88" s="103"/>
      <c r="G88" s="103"/>
    </row>
    <row r="89" spans="1:7" ht="21.75" thickBot="1">
      <c r="A89" s="103"/>
      <c r="B89" s="103"/>
      <c r="C89" s="103"/>
      <c r="D89" s="87" t="s">
        <v>220</v>
      </c>
      <c r="E89" s="87">
        <f>SUM(F87+G84+G83+G73+G72)</f>
        <v>300</v>
      </c>
      <c r="F89" s="103"/>
      <c r="G89" s="103"/>
    </row>
    <row r="95" ht="15" thickBot="1"/>
    <row r="96" spans="1:7" ht="14.25">
      <c r="A96" s="524" t="s">
        <v>185</v>
      </c>
      <c r="B96" s="525"/>
      <c r="C96" s="525"/>
      <c r="D96" s="525"/>
      <c r="E96" s="525"/>
      <c r="F96" s="526"/>
      <c r="G96" s="533">
        <f>COMPILAZIONE!G29</f>
        <v>0</v>
      </c>
    </row>
    <row r="97" spans="1:7" ht="14.25">
      <c r="A97" s="527" t="s">
        <v>0</v>
      </c>
      <c r="B97" s="528"/>
      <c r="C97" s="528"/>
      <c r="D97" s="528"/>
      <c r="E97" s="528"/>
      <c r="F97" s="529"/>
      <c r="G97" s="534"/>
    </row>
    <row r="98" spans="1:7" ht="15" thickBot="1">
      <c r="A98" s="530" t="s">
        <v>1</v>
      </c>
      <c r="B98" s="531"/>
      <c r="C98" s="531"/>
      <c r="D98" s="531"/>
      <c r="E98" s="531"/>
      <c r="F98" s="532"/>
      <c r="G98" s="535"/>
    </row>
    <row r="99" spans="1:7" ht="21.75" thickBot="1">
      <c r="A99" s="186"/>
      <c r="B99" s="186"/>
      <c r="C99" s="186"/>
      <c r="D99" s="186"/>
      <c r="E99" s="186"/>
      <c r="F99" s="189" t="s">
        <v>212</v>
      </c>
      <c r="G99" s="190">
        <f>SUM(B101:D101)</f>
        <v>0</v>
      </c>
    </row>
    <row r="100" ht="15" thickBot="1"/>
    <row r="101" spans="1:6" ht="15" thickBot="1">
      <c r="A101" s="485" t="s">
        <v>191</v>
      </c>
      <c r="B101" s="486"/>
      <c r="C101" s="486"/>
      <c r="D101" s="486"/>
      <c r="E101" s="486"/>
      <c r="F101" s="487"/>
    </row>
    <row r="102" spans="1:6" ht="14.25">
      <c r="A102" s="461" t="s">
        <v>75</v>
      </c>
      <c r="B102" s="462"/>
      <c r="C102" s="462"/>
      <c r="D102" s="462"/>
      <c r="E102" s="463"/>
      <c r="F102" s="459">
        <f>COMPILAZIONE!F128</f>
        <v>0</v>
      </c>
    </row>
    <row r="103" spans="1:6" ht="15" thickBot="1">
      <c r="A103" s="482" t="s">
        <v>268</v>
      </c>
      <c r="B103" s="483"/>
      <c r="C103" s="483"/>
      <c r="D103" s="483"/>
      <c r="E103" s="484"/>
      <c r="F103" s="460"/>
    </row>
    <row r="104" spans="1:6" ht="15" thickBot="1">
      <c r="A104" s="186"/>
      <c r="B104" s="186"/>
      <c r="C104" s="186"/>
      <c r="D104" s="186"/>
      <c r="E104" s="186"/>
      <c r="F104" s="186"/>
    </row>
    <row r="105" spans="1:6" ht="21.75" thickBot="1">
      <c r="A105" s="186"/>
      <c r="B105" s="186"/>
      <c r="C105" s="186"/>
      <c r="D105" s="186"/>
      <c r="E105" s="235" t="s">
        <v>226</v>
      </c>
      <c r="F105" s="236">
        <f>F108</f>
        <v>0</v>
      </c>
    </row>
    <row r="107" ht="14.25">
      <c r="C107" t="s">
        <v>269</v>
      </c>
    </row>
    <row r="108" spans="3:6" ht="14.25">
      <c r="C108">
        <f>IF(AND($G$96=3,$F$102=1),500,0)</f>
        <v>0</v>
      </c>
      <c r="D108">
        <f>IF(AND($G$96=1,$F$102=1),1000,0)</f>
        <v>0</v>
      </c>
      <c r="E108">
        <f>IF(AND($G$96=2,$F$102=1),1000,0)</f>
        <v>0</v>
      </c>
      <c r="F108">
        <f>SUM(C108:E108)</f>
        <v>0</v>
      </c>
    </row>
  </sheetData>
  <sheetProtection/>
  <mergeCells count="41">
    <mergeCell ref="A7:C7"/>
    <mergeCell ref="A14:A15"/>
    <mergeCell ref="B14:G14"/>
    <mergeCell ref="B16:G16"/>
    <mergeCell ref="A39:C39"/>
    <mergeCell ref="A40:C40"/>
    <mergeCell ref="A8:C8"/>
    <mergeCell ref="A9:C9"/>
    <mergeCell ref="A10:C10"/>
    <mergeCell ref="A11:C11"/>
    <mergeCell ref="A24:A25"/>
    <mergeCell ref="B24:G24"/>
    <mergeCell ref="B26:G26"/>
    <mergeCell ref="F78:F79"/>
    <mergeCell ref="A36:C36"/>
    <mergeCell ref="A37:C37"/>
    <mergeCell ref="A38:C38"/>
    <mergeCell ref="A53:A54"/>
    <mergeCell ref="B53:E53"/>
    <mergeCell ref="A65:C65"/>
    <mergeCell ref="A41:C41"/>
    <mergeCell ref="A44:A45"/>
    <mergeCell ref="B44:E44"/>
    <mergeCell ref="G78:G79"/>
    <mergeCell ref="A66:C66"/>
    <mergeCell ref="A68:A69"/>
    <mergeCell ref="B68:B69"/>
    <mergeCell ref="A87:C87"/>
    <mergeCell ref="F68:F69"/>
    <mergeCell ref="G68:G69"/>
    <mergeCell ref="A76:G76"/>
    <mergeCell ref="A78:A79"/>
    <mergeCell ref="B78:B79"/>
    <mergeCell ref="A96:F96"/>
    <mergeCell ref="G96:G98"/>
    <mergeCell ref="A97:F97"/>
    <mergeCell ref="A98:F98"/>
    <mergeCell ref="A101:F101"/>
    <mergeCell ref="A102:E102"/>
    <mergeCell ref="F102:F103"/>
    <mergeCell ref="A103:E103"/>
  </mergeCells>
  <dataValidations count="3">
    <dataValidation type="list" allowBlank="1" showInputMessage="1" showErrorMessage="1" sqref="D87">
      <formula1>$J$166:$J$167</formula1>
    </dataValidation>
    <dataValidation type="list" allowBlank="1" showInputMessage="1" showErrorMessage="1" sqref="G96">
      <formula1>TipoIMP</formula1>
    </dataValidation>
    <dataValidation type="list" allowBlank="1" showInputMessage="1" showErrorMessage="1" sqref="F102">
      <formula1>Domanda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Esposito</dc:creator>
  <cp:keywords/>
  <dc:description/>
  <cp:lastModifiedBy>Roberto Esposito</cp:lastModifiedBy>
  <cp:lastPrinted>2013-01-31T11:50:45Z</cp:lastPrinted>
  <dcterms:created xsi:type="dcterms:W3CDTF">2009-09-01T10:42:39Z</dcterms:created>
  <dcterms:modified xsi:type="dcterms:W3CDTF">2013-02-11T15:50:51Z</dcterms:modified>
  <cp:category/>
  <cp:version/>
  <cp:contentType/>
  <cp:contentStatus/>
</cp:coreProperties>
</file>